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0" yWindow="0" windowWidth="19416" windowHeight="9732" activeTab="1"/>
  </bookViews>
  <sheets>
    <sheet name="PREAMBLE TO SOR" sheetId="20" r:id="rId1"/>
    <sheet name="SUMMARY" sheetId="22" r:id="rId2"/>
    <sheet name="TOTAL" sheetId="12" r:id="rId3"/>
    <sheet name="Sec-A" sheetId="9" r:id="rId4"/>
    <sheet name="Sec-B" sheetId="13" r:id="rId5"/>
    <sheet name="SEC-C" sheetId="21" r:id="rId6"/>
    <sheet name="SEC E" sheetId="19" r:id="rId7"/>
    <sheet name="SEC F" sheetId="14" r:id="rId8"/>
    <sheet name="SEC G" sheetId="15" r:id="rId9"/>
  </sheets>
  <definedNames>
    <definedName name="_xlnm._FilterDatabase" localSheetId="6" hidden="1">'SEC E'!$D$1:$D$30</definedName>
    <definedName name="_xlnm._FilterDatabase" localSheetId="7" hidden="1">'SEC F'!$D$1:$D$33</definedName>
    <definedName name="_xlnm._FilterDatabase" localSheetId="8" hidden="1">'SEC G'!$D$1:$D$24</definedName>
    <definedName name="_xlnm._FilterDatabase" localSheetId="3" hidden="1">'Sec-A'!$D$1:$D$18</definedName>
    <definedName name="_xlnm._FilterDatabase" localSheetId="4" hidden="1">'Sec-B'!$D$1:$D$150</definedName>
    <definedName name="_xlnm._FilterDatabase" localSheetId="5" hidden="1">'SEC-C'!$D$1:$D$316</definedName>
    <definedName name="_xlnm.Print_Area" localSheetId="0">'PREAMBLE TO SOR'!$A$1:$P$14</definedName>
    <definedName name="_xlnm.Print_Area" localSheetId="6">'SEC E'!$A$1:$G$30</definedName>
    <definedName name="_xlnm.Print_Area" localSheetId="7">'SEC F'!$A$1:$G$32</definedName>
    <definedName name="_xlnm.Print_Area" localSheetId="8">'SEC G'!$A$1:$G$24</definedName>
    <definedName name="_xlnm.Print_Area" localSheetId="3">'Sec-A'!$A$1:$H$10</definedName>
    <definedName name="_xlnm.Print_Area" localSheetId="4">'Sec-B'!$A$1:$G$150</definedName>
    <definedName name="_xlnm.Print_Area" localSheetId="5">'SEC-C'!$A$1:$G$67</definedName>
    <definedName name="_xlnm.Print_Area" localSheetId="2">TOTAL!$A$1:$D$12</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F20" i="15"/>
  <c r="F16"/>
  <c r="F31" i="14"/>
  <c r="F29"/>
  <c r="F28"/>
  <c r="F27"/>
  <c r="F18"/>
  <c r="F17"/>
  <c r="F9"/>
  <c r="F59" i="21"/>
  <c r="F58"/>
  <c r="F50"/>
  <c r="F46"/>
  <c r="F45"/>
  <c r="F43"/>
  <c r="F42"/>
  <c r="F39"/>
  <c r="F38"/>
  <c r="F33"/>
  <c r="F30"/>
  <c r="F24"/>
  <c r="F22"/>
  <c r="F21"/>
  <c r="F19"/>
  <c r="F17"/>
  <c r="F8"/>
  <c r="F136" i="13"/>
  <c r="F133"/>
  <c r="F120"/>
  <c r="F106"/>
  <c r="F105"/>
  <c r="F79"/>
  <c r="F72"/>
  <c r="F69"/>
  <c r="F68"/>
  <c r="F59"/>
  <c r="F52"/>
  <c r="F40"/>
  <c r="F39"/>
  <c r="F38"/>
  <c r="F36"/>
  <c r="F30"/>
  <c r="F26"/>
  <c r="F25"/>
  <c r="F24"/>
  <c r="E56" i="21"/>
  <c r="F56" s="1"/>
  <c r="G20" i="15" l="1"/>
  <c r="G16"/>
  <c r="G31" i="14"/>
  <c r="G29"/>
  <c r="G28"/>
  <c r="G27"/>
  <c r="G18"/>
  <c r="G17"/>
  <c r="G9"/>
  <c r="G63" i="21"/>
  <c r="G62"/>
  <c r="G59"/>
  <c r="G58"/>
  <c r="G57"/>
  <c r="G56"/>
  <c r="G52"/>
  <c r="G50"/>
  <c r="G46"/>
  <c r="G45"/>
  <c r="G44"/>
  <c r="G43"/>
  <c r="G42"/>
  <c r="G39"/>
  <c r="G38"/>
  <c r="G36"/>
  <c r="G33"/>
  <c r="G30"/>
  <c r="G24"/>
  <c r="G22"/>
  <c r="G21"/>
  <c r="G19"/>
  <c r="G17"/>
  <c r="G15"/>
  <c r="G14"/>
  <c r="G10"/>
  <c r="G8"/>
  <c r="G136" i="13"/>
  <c r="G133"/>
  <c r="G120"/>
  <c r="G106"/>
  <c r="G105"/>
  <c r="G79"/>
  <c r="G72"/>
  <c r="G69"/>
  <c r="G68"/>
  <c r="G59"/>
  <c r="G52"/>
  <c r="G40"/>
  <c r="G39"/>
  <c r="G38"/>
  <c r="G36"/>
  <c r="G30"/>
  <c r="G26"/>
  <c r="G25"/>
  <c r="G24"/>
  <c r="G9" i="9"/>
  <c r="G7"/>
  <c r="E66" i="21"/>
  <c r="F66" s="1"/>
  <c r="G66" s="1"/>
  <c r="E64"/>
  <c r="F64" s="1"/>
  <c r="G64" s="1"/>
  <c r="E63"/>
  <c r="F63" s="1"/>
  <c r="E62"/>
  <c r="F62" s="1"/>
  <c r="E61"/>
  <c r="F61" s="1"/>
  <c r="G61" s="1"/>
  <c r="E57"/>
  <c r="F57" s="1"/>
  <c r="E54"/>
  <c r="F54" s="1"/>
  <c r="G54" s="1"/>
  <c r="G53"/>
  <c r="E52"/>
  <c r="F52" s="1"/>
  <c r="G51"/>
  <c r="E49"/>
  <c r="F49" s="1"/>
  <c r="G49" s="1"/>
  <c r="E44"/>
  <c r="F44" s="1"/>
  <c r="E41"/>
  <c r="F41" s="1"/>
  <c r="G41" s="1"/>
  <c r="E37"/>
  <c r="F37" s="1"/>
  <c r="G37" s="1"/>
  <c r="E36"/>
  <c r="F36" s="1"/>
  <c r="E35"/>
  <c r="F35" s="1"/>
  <c r="G35" s="1"/>
  <c r="G34"/>
  <c r="G32"/>
  <c r="E31"/>
  <c r="F31" s="1"/>
  <c r="G31" s="1"/>
  <c r="G29"/>
  <c r="E28"/>
  <c r="F28" s="1"/>
  <c r="G28" s="1"/>
  <c r="E26"/>
  <c r="F26" s="1"/>
  <c r="G26" s="1"/>
  <c r="G25"/>
  <c r="G23"/>
  <c r="G20"/>
  <c r="G16"/>
  <c r="E15"/>
  <c r="F15" s="1"/>
  <c r="E14"/>
  <c r="F14" s="1"/>
  <c r="E13"/>
  <c r="F13" s="1"/>
  <c r="G13" s="1"/>
  <c r="E12"/>
  <c r="F12" s="1"/>
  <c r="G12" s="1"/>
  <c r="E10"/>
  <c r="F10" s="1"/>
  <c r="G67" l="1"/>
  <c r="D7" i="12" s="1"/>
  <c r="E23" i="15" l="1"/>
  <c r="F23" s="1"/>
  <c r="G23" s="1"/>
  <c r="E22"/>
  <c r="F22" s="1"/>
  <c r="G22" s="1"/>
  <c r="E21"/>
  <c r="F21" s="1"/>
  <c r="G21" s="1"/>
  <c r="E19"/>
  <c r="F19" s="1"/>
  <c r="G19" s="1"/>
  <c r="E18"/>
  <c r="F18" s="1"/>
  <c r="G18" s="1"/>
  <c r="E17"/>
  <c r="F17" s="1"/>
  <c r="G17" s="1"/>
  <c r="E15"/>
  <c r="F15" s="1"/>
  <c r="G15" s="1"/>
  <c r="E14"/>
  <c r="F14" s="1"/>
  <c r="G14" s="1"/>
  <c r="E13"/>
  <c r="F13" s="1"/>
  <c r="G13" s="1"/>
  <c r="E10"/>
  <c r="F10" s="1"/>
  <c r="G10" s="1"/>
  <c r="E9"/>
  <c r="F9" s="1"/>
  <c r="G9" s="1"/>
  <c r="E8"/>
  <c r="F8" s="1"/>
  <c r="G8" s="1"/>
  <c r="E30" i="14"/>
  <c r="F30" s="1"/>
  <c r="G30" s="1"/>
  <c r="E26"/>
  <c r="F26" s="1"/>
  <c r="G26" s="1"/>
  <c r="E25"/>
  <c r="F25" s="1"/>
  <c r="G25" s="1"/>
  <c r="E24"/>
  <c r="F24" s="1"/>
  <c r="G24" s="1"/>
  <c r="E23"/>
  <c r="F23" s="1"/>
  <c r="G23" s="1"/>
  <c r="E22"/>
  <c r="F22" s="1"/>
  <c r="G22" s="1"/>
  <c r="E21"/>
  <c r="F21" s="1"/>
  <c r="G21" s="1"/>
  <c r="E20"/>
  <c r="F20" s="1"/>
  <c r="G20" s="1"/>
  <c r="E16"/>
  <c r="F16" s="1"/>
  <c r="G16" s="1"/>
  <c r="E15"/>
  <c r="F15" s="1"/>
  <c r="G15" s="1"/>
  <c r="E14"/>
  <c r="F14" s="1"/>
  <c r="G14" s="1"/>
  <c r="E12"/>
  <c r="F12" s="1"/>
  <c r="G12" s="1"/>
  <c r="E11"/>
  <c r="F11" s="1"/>
  <c r="G11" s="1"/>
  <c r="E10"/>
  <c r="F10" s="1"/>
  <c r="G10" s="1"/>
  <c r="E8"/>
  <c r="F8" s="1"/>
  <c r="G8" s="1"/>
  <c r="E29" i="19"/>
  <c r="F29" s="1"/>
  <c r="G29" s="1"/>
  <c r="E28"/>
  <c r="F28" s="1"/>
  <c r="G28" s="1"/>
  <c r="E26"/>
  <c r="F26" s="1"/>
  <c r="G26" s="1"/>
  <c r="E25"/>
  <c r="F25" s="1"/>
  <c r="G25" s="1"/>
  <c r="E24"/>
  <c r="F24" s="1"/>
  <c r="G24" s="1"/>
  <c r="E23"/>
  <c r="F23" s="1"/>
  <c r="G23" s="1"/>
  <c r="E22"/>
  <c r="F22" s="1"/>
  <c r="G22" s="1"/>
  <c r="E21"/>
  <c r="F21" s="1"/>
  <c r="G21" s="1"/>
  <c r="E20"/>
  <c r="F20" s="1"/>
  <c r="G20" s="1"/>
  <c r="E18"/>
  <c r="F18" s="1"/>
  <c r="G18" s="1"/>
  <c r="E17"/>
  <c r="F17" s="1"/>
  <c r="G17" s="1"/>
  <c r="E16"/>
  <c r="F16" s="1"/>
  <c r="G16" s="1"/>
  <c r="E15"/>
  <c r="F15" s="1"/>
  <c r="G15" s="1"/>
  <c r="E13"/>
  <c r="F13" s="1"/>
  <c r="G13" s="1"/>
  <c r="E12"/>
  <c r="F12" s="1"/>
  <c r="G12" s="1"/>
  <c r="E11"/>
  <c r="F11" s="1"/>
  <c r="G11" s="1"/>
  <c r="E10"/>
  <c r="F10" s="1"/>
  <c r="G10" s="1"/>
  <c r="E9"/>
  <c r="F9" s="1"/>
  <c r="G9" s="1"/>
  <c r="E8"/>
  <c r="F8" s="1"/>
  <c r="G8" s="1"/>
  <c r="E7"/>
  <c r="F7" s="1"/>
  <c r="G7" s="1"/>
  <c r="E147" i="13"/>
  <c r="F147" s="1"/>
  <c r="G147" s="1"/>
  <c r="E144"/>
  <c r="F144" s="1"/>
  <c r="G144" s="1"/>
  <c r="E142"/>
  <c r="F142" s="1"/>
  <c r="G142" s="1"/>
  <c r="E137"/>
  <c r="F137" s="1"/>
  <c r="G137" s="1"/>
  <c r="E132"/>
  <c r="F132" s="1"/>
  <c r="G132" s="1"/>
  <c r="E122"/>
  <c r="F122" s="1"/>
  <c r="G122" s="1"/>
  <c r="E121"/>
  <c r="F121" s="1"/>
  <c r="G121" s="1"/>
  <c r="E119"/>
  <c r="F119" s="1"/>
  <c r="G119" s="1"/>
  <c r="E97"/>
  <c r="F97" s="1"/>
  <c r="G97" s="1"/>
  <c r="E75"/>
  <c r="F75" s="1"/>
  <c r="G75" s="1"/>
  <c r="E70"/>
  <c r="F70" s="1"/>
  <c r="G70" s="1"/>
  <c r="E53"/>
  <c r="F53" s="1"/>
  <c r="G53" s="1"/>
  <c r="E51"/>
  <c r="F51" s="1"/>
  <c r="G51" s="1"/>
  <c r="E44"/>
  <c r="F44" s="1"/>
  <c r="G44" s="1"/>
  <c r="E31"/>
  <c r="F31" s="1"/>
  <c r="G31" s="1"/>
  <c r="E29"/>
  <c r="F29" s="1"/>
  <c r="G29" s="1"/>
  <c r="E139" l="1"/>
  <c r="F139" s="1"/>
  <c r="G139" s="1"/>
  <c r="E114"/>
  <c r="F114" s="1"/>
  <c r="G114" s="1"/>
  <c r="E113"/>
  <c r="F113" s="1"/>
  <c r="G113" s="1"/>
  <c r="E112"/>
  <c r="F112" s="1"/>
  <c r="G112" s="1"/>
  <c r="E111"/>
  <c r="F111" s="1"/>
  <c r="G111" s="1"/>
  <c r="E108"/>
  <c r="F108" s="1"/>
  <c r="G108" s="1"/>
  <c r="E104"/>
  <c r="F104" s="1"/>
  <c r="G104" s="1"/>
  <c r="E103"/>
  <c r="F103" s="1"/>
  <c r="G103" s="1"/>
  <c r="E102"/>
  <c r="F102" s="1"/>
  <c r="G102" s="1"/>
  <c r="E93"/>
  <c r="F93" s="1"/>
  <c r="G93" s="1"/>
  <c r="E99"/>
  <c r="F99" s="1"/>
  <c r="G99" s="1"/>
  <c r="E94"/>
  <c r="F94" s="1"/>
  <c r="G94" s="1"/>
  <c r="E91"/>
  <c r="F91" s="1"/>
  <c r="G91" s="1"/>
  <c r="E90"/>
  <c r="F90" s="1"/>
  <c r="G90" s="1"/>
  <c r="E89"/>
  <c r="F89" s="1"/>
  <c r="G89" s="1"/>
  <c r="E88"/>
  <c r="F88" s="1"/>
  <c r="G88" s="1"/>
  <c r="E87"/>
  <c r="F87" s="1"/>
  <c r="G87" s="1"/>
  <c r="E86"/>
  <c r="F86" s="1"/>
  <c r="G86" s="1"/>
  <c r="E85"/>
  <c r="F85" s="1"/>
  <c r="G85" s="1"/>
  <c r="E84"/>
  <c r="F84" s="1"/>
  <c r="G84" s="1"/>
  <c r="E83"/>
  <c r="F83" s="1"/>
  <c r="G83" s="1"/>
  <c r="E81"/>
  <c r="F81" s="1"/>
  <c r="G81" s="1"/>
  <c r="E80"/>
  <c r="F80" s="1"/>
  <c r="G80" s="1"/>
  <c r="E77"/>
  <c r="F77" s="1"/>
  <c r="G77" s="1"/>
  <c r="E76"/>
  <c r="F76" s="1"/>
  <c r="G76" s="1"/>
  <c r="E67"/>
  <c r="F67" s="1"/>
  <c r="G67" s="1"/>
  <c r="E64"/>
  <c r="F64" s="1"/>
  <c r="G64" s="1"/>
  <c r="E63"/>
  <c r="F63" s="1"/>
  <c r="G63" s="1"/>
  <c r="E62"/>
  <c r="F62" s="1"/>
  <c r="G62" s="1"/>
  <c r="E61"/>
  <c r="F61" s="1"/>
  <c r="G61" s="1"/>
  <c r="E58"/>
  <c r="F58" s="1"/>
  <c r="G58" s="1"/>
  <c r="E57"/>
  <c r="F57" s="1"/>
  <c r="G57" s="1"/>
  <c r="E56"/>
  <c r="F56" s="1"/>
  <c r="G56" s="1"/>
  <c r="E50"/>
  <c r="F50" s="1"/>
  <c r="G50" s="1"/>
  <c r="E45"/>
  <c r="F45" s="1"/>
  <c r="G45" s="1"/>
  <c r="E42"/>
  <c r="F42" s="1"/>
  <c r="G42" s="1"/>
  <c r="E41"/>
  <c r="F41" s="1"/>
  <c r="G41" s="1"/>
  <c r="E35"/>
  <c r="F35" s="1"/>
  <c r="G35" s="1"/>
  <c r="E28"/>
  <c r="F28" s="1"/>
  <c r="G28" s="1"/>
  <c r="E27"/>
  <c r="F27" s="1"/>
  <c r="G27" s="1"/>
  <c r="E8" i="9"/>
  <c r="F8" s="1"/>
  <c r="G8" s="1"/>
  <c r="E14" i="19" l="1"/>
  <c r="F14" s="1"/>
  <c r="G14" s="1"/>
  <c r="G71" i="13" l="1"/>
  <c r="G74"/>
  <c r="G78"/>
  <c r="G95"/>
  <c r="G96"/>
  <c r="G135"/>
  <c r="G138"/>
  <c r="G24" i="15" l="1"/>
  <c r="G30" i="19"/>
  <c r="D9" i="12" s="1"/>
  <c r="G149" i="13"/>
  <c r="G10" i="9"/>
  <c r="G32" i="14" l="1"/>
  <c r="D6" i="12" l="1"/>
  <c r="D10" l="1"/>
  <c r="D5"/>
  <c r="D11"/>
  <c r="D12" l="1"/>
  <c r="D6" i="22" s="1"/>
</calcChain>
</file>

<file path=xl/sharedStrings.xml><?xml version="1.0" encoding="utf-8"?>
<sst xmlns="http://schemas.openxmlformats.org/spreadsheetml/2006/main" count="897" uniqueCount="617">
  <si>
    <t>Currency: INR</t>
  </si>
  <si>
    <t>SOR Item No.</t>
  </si>
  <si>
    <t>Description of Item</t>
  </si>
  <si>
    <t>Unit</t>
  </si>
  <si>
    <t>(1)</t>
  </si>
  <si>
    <t>(2)</t>
  </si>
  <si>
    <t>(3)</t>
  </si>
  <si>
    <t>(4)</t>
  </si>
  <si>
    <t>Nos.</t>
  </si>
  <si>
    <t>Set</t>
  </si>
  <si>
    <t>GAIL (India) Limited</t>
  </si>
  <si>
    <t>Nos</t>
  </si>
  <si>
    <t>Mtr.</t>
  </si>
  <si>
    <t>No.</t>
  </si>
  <si>
    <t>Qty.</t>
  </si>
  <si>
    <t>TOTAL: SECTION-A [MAINLINE WORKS]</t>
  </si>
  <si>
    <t>Sl.</t>
  </si>
  <si>
    <t>Section</t>
  </si>
  <si>
    <t>Description of work</t>
  </si>
  <si>
    <t>In Figures</t>
  </si>
  <si>
    <t>A</t>
  </si>
  <si>
    <t>B</t>
  </si>
  <si>
    <t>Mechanical Piping &amp; Terminal Works</t>
  </si>
  <si>
    <t>C</t>
  </si>
  <si>
    <t>Civil &amp; Structural Works</t>
  </si>
  <si>
    <t>D</t>
  </si>
  <si>
    <t>E</t>
  </si>
  <si>
    <t>Electrical Works</t>
  </si>
  <si>
    <t>F</t>
  </si>
  <si>
    <t>Instrumentation Works</t>
  </si>
  <si>
    <t>G</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</si>
  <si>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</si>
  <si>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</si>
  <si>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</si>
  <si>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</si>
  <si>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</si>
  <si>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</si>
  <si>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</si>
  <si>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</si>
  <si>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</si>
  <si>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</si>
  <si>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</si>
  <si>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</si>
  <si>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</si>
  <si>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</si>
  <si>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</si>
  <si>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</si>
  <si>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</si>
  <si>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</si>
  <si>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</si>
  <si>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</si>
  <si>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</si>
  <si>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</si>
  <si>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</si>
  <si>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</si>
  <si>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</si>
  <si>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B001070</t>
  </si>
  <si>
    <t>1½" NB Piping different grades &amp; thickness</t>
  </si>
  <si>
    <t>B001080</t>
  </si>
  <si>
    <t>1"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</si>
  <si>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</si>
  <si>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</si>
  <si>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</si>
  <si>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</si>
  <si>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</si>
  <si>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Size - 8.0 Inch, Rating - 150#/300#/600#</t>
  </si>
  <si>
    <t>B001130</t>
  </si>
  <si>
    <t>Size - 2.0 Inch, Rating - 150#/300#/600#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</si>
  <si>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</si>
  <si>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</si>
  <si>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</si>
  <si>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</si>
  <si>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</si>
  <si>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</si>
  <si>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</si>
  <si>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</si>
  <si>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</si>
  <si>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</si>
  <si>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</si>
  <si>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</si>
  <si>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</si>
  <si>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</si>
  <si>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</si>
  <si>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B001320</t>
  </si>
  <si>
    <t xml:space="preserve">Size - 8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</si>
  <si>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</si>
  <si>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</si>
  <si>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</si>
  <si>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</si>
  <si>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</si>
  <si>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</si>
  <si>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</si>
  <si>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1  1/ 2" NB Sch XS   Seamless, BE / A 106 Gr.B. </t>
  </si>
  <si>
    <t xml:space="preserve">CS Pipes 1 " NB Sch 160,  A 106 Gr.B. </t>
  </si>
  <si>
    <t xml:space="preserve">CS Pipes 3/4 " NB Sch 160 , A 106 Gr.B. </t>
  </si>
  <si>
    <t>B02200</t>
  </si>
  <si>
    <t xml:space="preserve">VALVES </t>
  </si>
  <si>
    <t>B02300</t>
  </si>
  <si>
    <t>B002310</t>
  </si>
  <si>
    <t>B002320</t>
  </si>
  <si>
    <t>B002330</t>
  </si>
  <si>
    <t>B02400</t>
  </si>
  <si>
    <t>Supply of Globe Valves as per PMS and Data Sheet</t>
  </si>
  <si>
    <t>B002410</t>
  </si>
  <si>
    <t>B002420</t>
  </si>
  <si>
    <t>B002430</t>
  </si>
  <si>
    <t>B02600</t>
  </si>
  <si>
    <t>FLANGES</t>
  </si>
  <si>
    <t>B02700</t>
  </si>
  <si>
    <t>Supply of SW Raised Face (SWRF) Flanges as per details below:</t>
  </si>
  <si>
    <t>B002710</t>
  </si>
  <si>
    <t>B002720</t>
  </si>
  <si>
    <t>B02800</t>
  </si>
  <si>
    <t>Supply of Raised Face Blind Flanges (BLRF) as per details given below:</t>
  </si>
  <si>
    <t>B002810</t>
  </si>
  <si>
    <t>B02900</t>
  </si>
  <si>
    <t>FITTINGS</t>
  </si>
  <si>
    <t>B03000</t>
  </si>
  <si>
    <r>
      <t>Supply of R=1.5D 90</t>
    </r>
    <r>
      <rPr>
        <b/>
        <vertAlign val="superscript"/>
        <sz val="10"/>
        <rFont val="Arial"/>
        <family val="2"/>
      </rPr>
      <t>o</t>
    </r>
    <r>
      <rPr>
        <b/>
        <sz val="10"/>
        <rFont val="Arial"/>
        <family val="2"/>
      </rPr>
      <t xml:space="preserve"> BW Elbow as per details given below:</t>
    </r>
  </si>
  <si>
    <t>Size - 1 1/2 Inch, Thk/Sch - XS, Material - ASTM A 105, Dimn. Std. - ASME B 1611</t>
  </si>
  <si>
    <t>B003020</t>
  </si>
  <si>
    <t>Size - 1.0 Inch, Thk/Sch - XS, Material - ASTM A 105, Dimn. Std. - ASME B 1611</t>
  </si>
  <si>
    <t>B003030</t>
  </si>
  <si>
    <t>Size - 3/4 Inch, Thk/Sch - 160, Material - ASTM A 105, Dimn. Std. - ASME B 16.11</t>
  </si>
  <si>
    <t>B03200</t>
  </si>
  <si>
    <t>Supply of BW Un-equal Tee as per details given below:</t>
  </si>
  <si>
    <t>B003210</t>
  </si>
  <si>
    <t>Size - 2.0 Inch x 1.0 Inch, Thk/Sch - XS, Material - ASTM A 105 (CHARPY), Dimn. Std. - ASME B 16.9</t>
  </si>
  <si>
    <t>B003220</t>
  </si>
  <si>
    <t>Size - 2.0 Inch x 3/4 Inch, Thk/Sch - XS x 160, Material - A105  (CHARPY), Dimn. Std. - ASME B 16.9</t>
  </si>
  <si>
    <t>B03300</t>
  </si>
  <si>
    <t>Supply of Sockolet conforming to MSS-SP-97, Material - ASTM A105 and as per details given below:</t>
  </si>
  <si>
    <t>B003320</t>
  </si>
  <si>
    <t>12" x 1 1/2", 3000#</t>
  </si>
  <si>
    <t>B003330</t>
  </si>
  <si>
    <t>12" x 1", 3000#</t>
  </si>
  <si>
    <t>B003340</t>
  </si>
  <si>
    <t>12" x 3/4", 6000#</t>
  </si>
  <si>
    <t>B003350</t>
  </si>
  <si>
    <t>8" x 1 1/2", 3000#</t>
  </si>
  <si>
    <t>B003360</t>
  </si>
  <si>
    <t>8" x 1", 3000#</t>
  </si>
  <si>
    <t>B003370</t>
  </si>
  <si>
    <t>8" x 3/4", 6000#</t>
  </si>
  <si>
    <t>B003380</t>
  </si>
  <si>
    <t>4" x 1 1/2", 3000#</t>
  </si>
  <si>
    <t>B003390</t>
  </si>
  <si>
    <t>4" x 1", 3000#</t>
  </si>
  <si>
    <t>B003391</t>
  </si>
  <si>
    <t>4" x 3/4", 6000#</t>
  </si>
  <si>
    <t>B03400</t>
  </si>
  <si>
    <t>Supply of Weldolet conforming to MSS-SP-97, Material - ASTM A105 (CHARPY) and as per details given below:</t>
  </si>
  <si>
    <t>B003410</t>
  </si>
  <si>
    <t>12" x 2", Thk/Sch - XS</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</si>
  <si>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</si>
  <si>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</si>
  <si>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</si>
  <si>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</si>
  <si>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</si>
  <si>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</si>
  <si>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</si>
  <si>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</si>
  <si>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</si>
  <si>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</si>
  <si>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</si>
  <si>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</si>
  <si>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</si>
  <si>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</si>
  <si>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</si>
  <si>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</si>
  <si>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</si>
  <si>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</si>
  <si>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</si>
  <si>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</si>
  <si>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</si>
  <si>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</si>
  <si>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</si>
  <si>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</si>
  <si>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Testing/ drying/cleaning/Golden Tie -In with existing  Pipeline</t>
  </si>
  <si>
    <t>B007010</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</si>
  <si>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</si>
  <si>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</si>
  <si>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</si>
  <si>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</si>
  <si>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</si>
  <si>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</si>
  <si>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</si>
  <si>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</si>
  <si>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</si>
  <si>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</si>
  <si>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</si>
  <si>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</si>
  <si>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</si>
  <si>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</si>
  <si>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</si>
  <si>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</si>
  <si>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</si>
  <si>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</si>
  <si>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</si>
  <si>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</si>
  <si>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</si>
  <si>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</si>
  <si>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</si>
  <si>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</si>
  <si>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</si>
  <si>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</si>
  <si>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</si>
  <si>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</si>
  <si>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</si>
  <si>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t>SUPPLY &amp; INSTALLATION OF QOEC</t>
  </si>
  <si>
    <t>B003500</t>
  </si>
  <si>
    <t>B003510</t>
  </si>
  <si>
    <t>B003520</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</si>
  <si>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</si>
  <si>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B002110</t>
  </si>
  <si>
    <t>B002107</t>
  </si>
  <si>
    <t>B002108</t>
  </si>
  <si>
    <t>B002109</t>
  </si>
  <si>
    <t>Deployment of Fire Tenders for 12 Hrs</t>
  </si>
  <si>
    <t>Hiring and deploying  of fire tenders  along with  accessories and operating crew. The rates quoted shall be inclusive of all expenses.</t>
  </si>
  <si>
    <t xml:space="preserve">QOEC 2" - 600 # </t>
  </si>
  <si>
    <t>A00900</t>
  </si>
  <si>
    <t>A00901</t>
  </si>
  <si>
    <t>B001210</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</si>
  <si>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</si>
  <si>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</si>
  <si>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</si>
  <si>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</si>
  <si>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</si>
  <si>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</si>
  <si>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</si>
  <si>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</si>
  <si>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</si>
  <si>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</si>
  <si>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F00120</t>
  </si>
  <si>
    <r>
      <rPr>
        <b/>
        <sz val="10"/>
        <rFont val="Arial"/>
        <family val="2"/>
      </rPr>
      <t>Pressure Transmitter of different Range and rating as per site requirement</t>
    </r>
    <r>
      <rPr>
        <sz val="10"/>
        <rFont val="Arial"/>
        <family val="2"/>
      </rPr>
      <t xml:space="preserve">
Supply, testing, installation, erection and commissioning. Also supply of erection material like SS316 tube, SS fittings, manifold, mounting stand and all other required material. Smart HART, Ex'd', IP-65, 24 VDC 2-wire loop powered.</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</si>
  <si>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</si>
  <si>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</si>
  <si>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F00140</t>
  </si>
  <si>
    <r>
      <rPr>
        <b/>
        <sz val="10"/>
        <rFont val="Arial"/>
        <family val="2"/>
      </rPr>
      <t>Pressure Switch of different range</t>
    </r>
    <r>
      <rPr>
        <sz val="10"/>
        <rFont val="Arial"/>
        <family val="2"/>
      </rPr>
      <t xml:space="preserve">
Supply, testing, installation, erection and commissioning.</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</si>
  <si>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</si>
  <si>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</si>
  <si>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</si>
  <si>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</si>
  <si>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</si>
  <si>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</si>
  <si>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</si>
  <si>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</si>
  <si>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</si>
  <si>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</si>
  <si>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</si>
  <si>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</si>
  <si>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</si>
  <si>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</si>
  <si>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</si>
  <si>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</si>
  <si>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</si>
  <si>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</si>
  <si>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</si>
  <si>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</si>
  <si>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</si>
  <si>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</si>
  <si>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</si>
  <si>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</si>
  <si>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</si>
  <si>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</si>
  <si>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</si>
  <si>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</si>
  <si>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</si>
  <si>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</si>
  <si>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</si>
  <si>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</si>
  <si>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</si>
  <si>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</si>
  <si>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F00590</t>
  </si>
  <si>
    <t>Cable Trays (100 mm wide x 30 mm height)</t>
  </si>
  <si>
    <t>F00591</t>
  </si>
  <si>
    <t>Cable Trays (300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</si>
  <si>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</si>
  <si>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</si>
  <si>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</si>
  <si>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TOTAL: SECTION-F [INSTRUMENTATION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</si>
  <si>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</si>
  <si>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</si>
  <si>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</si>
  <si>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</si>
  <si>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</si>
  <si>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</si>
  <si>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</si>
  <si>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</si>
  <si>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</si>
  <si>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</si>
  <si>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</si>
  <si>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</si>
  <si>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</si>
  <si>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</si>
  <si>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</si>
  <si>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</si>
  <si>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G00221</t>
  </si>
  <si>
    <t>Laying of OFC cable in same pipeline trench</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</si>
  <si>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</si>
  <si>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</si>
  <si>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</si>
  <si>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</si>
  <si>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</si>
  <si>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</si>
  <si>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</si>
  <si>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</si>
  <si>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</si>
  <si>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</si>
  <si>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</si>
  <si>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G00280</t>
  </si>
  <si>
    <t>Supply, configuration, installation and commissioning of CCTV DVR 4 channel video &amp; audio, 1 SATA interface, installed in terminal control room complete with power supply unit for cameras, 1TB HDD and accessories inclusive of power/ Ethernet cabling, installation, testing and commissioning.</t>
  </si>
  <si>
    <t>G00290</t>
  </si>
  <si>
    <t>Supply and installation of 2.0 MP 1080P, 20M IR, 25 FPS, fixed bullet cameras for outdoor (outside CCR building) installation, IP-65, complete with wiring and accessories.</t>
  </si>
  <si>
    <t>G00300</t>
  </si>
  <si>
    <t>Supply of coaxial cable with power for CCTVs, PVC insulated, SWA</t>
  </si>
  <si>
    <t>TOTAL: SECTION-G [TELECOM / SCADA WORKS]</t>
  </si>
  <si>
    <t>E00100</t>
  </si>
  <si>
    <t>E00110</t>
  </si>
  <si>
    <t>Supply, installation, testing, commissioning of Indoor Lighting Fixtures suitable for 26/36W LED Lamps for including all fixing arrangements and all material and labour as per specifications, drawings and instruction of EIC. Work to be completed in all respects.</t>
  </si>
  <si>
    <t xml:space="preserve">Nos. </t>
  </si>
  <si>
    <t>E00200</t>
  </si>
  <si>
    <t>Supply, installation, testing, commissioning of Exhaust fans (safe area) for including all fixing arrangements and all material and labour as per specifications, drawings and instruction of EIC. Work to be completed in all respects.</t>
  </si>
  <si>
    <t>E00250</t>
  </si>
  <si>
    <t>Supply, installation, testing, commissioning of Exhaust fans (Corrosion Proof Type) for including all fixing arrangements and all material and labour as per specifications, drawings and instruction of EIC. Work to be completed in all respects.</t>
  </si>
  <si>
    <t>E00300</t>
  </si>
  <si>
    <t>E00400</t>
  </si>
  <si>
    <t>E00500</t>
  </si>
  <si>
    <r>
      <t xml:space="preserve">Supply, installation, testing, commissioning of </t>
    </r>
    <r>
      <rPr>
        <b/>
        <sz val="10"/>
        <rFont val="Tahoma"/>
        <family val="2"/>
      </rPr>
      <t>Modular Switch Board</t>
    </r>
    <r>
      <rPr>
        <sz val="10"/>
        <rFont val="Tahoma"/>
        <family val="2"/>
      </rPr>
      <t xml:space="preserve"> for including all fixing arrangements and all material and labour as per specifications, drawings and instruction of EIC. Work to be completed in all respects.</t>
    </r>
  </si>
  <si>
    <t>E00510</t>
  </si>
  <si>
    <t>Supply, installation, testing, commissioning of wall mounted 24V DCDB for including all fixing arrangements and all material and labour as per specifications, drawings and instruction of EIC. Work to be completed in all respects.</t>
  </si>
  <si>
    <t>E00600</t>
  </si>
  <si>
    <t>Supply, installation, testing, commissioning of 5/15A Switch Socket for including all fixing arrangements and all material and labour as per specifications, drawings and instruction of EIC. Work to be completed in all respects.</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</si>
  <si>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</si>
  <si>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</si>
  <si>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</si>
  <si>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</si>
  <si>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</si>
  <si>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</si>
  <si>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</si>
  <si>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</si>
  <si>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Item No.</t>
  </si>
  <si>
    <t xml:space="preserve">CV001.00.00 </t>
  </si>
  <si>
    <t xml:space="preserve">SURVEY WORKS </t>
  </si>
  <si>
    <t xml:space="preserve">CV001.01.00 </t>
  </si>
  <si>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</si>
  <si>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</si>
  <si>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</si>
  <si>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</si>
  <si>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</si>
  <si>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</si>
  <si>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</si>
  <si>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</si>
  <si>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</si>
  <si>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</si>
  <si>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</si>
  <si>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</si>
  <si>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</si>
  <si>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</si>
  <si>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</si>
  <si>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</si>
  <si>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</si>
  <si>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</si>
  <si>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</si>
  <si>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</si>
  <si>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</si>
  <si>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</si>
  <si>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</si>
  <si>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</si>
  <si>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</si>
  <si>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</si>
  <si>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</si>
  <si>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</si>
  <si>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</si>
  <si>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</si>
  <si>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</si>
  <si>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</si>
  <si>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</si>
  <si>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</si>
  <si>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</si>
  <si>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</si>
  <si>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CV008.00.00 </t>
  </si>
  <si>
    <t>VALVE PIT</t>
  </si>
  <si>
    <t xml:space="preserve">CV008.01.00 </t>
  </si>
  <si>
    <t xml:space="preserve">Supply, &amp; Construction  of  Valve Pit-TYPE I (3.0m x 1.5 m x 1.5m) in size (internal dimension) as per attached tender drawing, technical specification and direction of Engineer-In-Charge complete in all respect.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</si>
  <si>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</si>
  <si>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</si>
  <si>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</si>
  <si>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</si>
  <si>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</si>
  <si>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</si>
  <si>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</si>
  <si>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CV011.00.00 </t>
  </si>
  <si>
    <t>ERC/IRC</t>
  </si>
  <si>
    <t xml:space="preserve">CV011.01.00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</si>
  <si>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</si>
  <si>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</si>
  <si>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</si>
  <si>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</si>
  <si>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</si>
  <si>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</si>
  <si>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</si>
  <si>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</si>
  <si>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</si>
  <si>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</si>
  <si>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</si>
  <si>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</si>
  <si>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</si>
  <si>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</si>
  <si>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</si>
  <si>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</si>
  <si>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</si>
  <si>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</si>
  <si>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</si>
  <si>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</si>
  <si>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</si>
  <si>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CV013.07.00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</si>
  <si>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</si>
  <si>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</si>
  <si>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</si>
  <si>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</si>
  <si>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</si>
  <si>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</si>
  <si>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</si>
  <si>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</si>
  <si>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</si>
  <si>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</si>
  <si>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</si>
  <si>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</si>
  <si>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</si>
  <si>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</si>
  <si>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</si>
  <si>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</si>
  <si>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</si>
  <si>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</si>
  <si>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</si>
  <si>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</si>
  <si>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</si>
  <si>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</si>
  <si>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</si>
  <si>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</si>
  <si>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</si>
  <si>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</si>
  <si>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</si>
  <si>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</si>
  <si>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CV018.02.00 </t>
  </si>
  <si>
    <r>
      <t xml:space="preserve">Providing and laying </t>
    </r>
    <r>
      <rPr>
        <b/>
        <sz val="10"/>
        <rFont val="Arial"/>
        <family val="2"/>
      </rPr>
      <t>HALF BRICK MASONRY</t>
    </r>
    <r>
      <rPr>
        <sz val="10"/>
        <rFont val="Arial"/>
        <family val="2"/>
      </rPr>
      <t xml:space="preserve"> with bricks of CLASS 7.5 in cement mortar 1:4 (1 Cement : 4 Sand)in any shape, including the cost of materials, labour, scaffolding/staging, sampling and testing, soaking of bricks, cutting and laying of bricks, providing openings of any shape &amp; size, raking out the joints, supplying and placing 2 Nos. 6mm dia. M.S. Bars at every fourth course, sealing the gap between masonry and soffit of beam/slab, embedding the fittings and fixtures, curing etc. all complete as per specification.ALL MATERIALS INCLUDING CEMENT SUPPLIED BY CONTRACTOR. </t>
    </r>
  </si>
  <si>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</si>
  <si>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</si>
  <si>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</si>
  <si>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</si>
  <si>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</si>
  <si>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</si>
  <si>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Size - 1 1/2 Inch, 800#, SW Ends, Design Standard - BS EN 1SO 17292, Floating type, Full Bore Ball Valve, Lever Operated</t>
  </si>
  <si>
    <t xml:space="preserve">Size - 0.75 Inch, 800#, SW Ends, Design Standard - BS EN 1SO 15761, </t>
  </si>
  <si>
    <t xml:space="preserve">Size - 1 Inch, 800#, SW Ends, Design Standard - BS EN 1SO 15761, </t>
  </si>
  <si>
    <t xml:space="preserve">Size - 1  1/ 2 Inch, 800#, SW Ends, Design Standard - BS EN 1SO 15761, </t>
  </si>
  <si>
    <t>Size - 1 1/2 Inch, 600# , Thk/Sch - XS , Material - ASTM A105, Face/Finish - RF/125AARH , Dimn. Std. - ASME B16.5</t>
  </si>
  <si>
    <t>Size - 1.0 Inch, 600# , Thk/Sch - XS , Material - ASTM A105, Face/Finish - RF/125AARH , Dimn. Std. - ASME B16.5</t>
  </si>
  <si>
    <t>Size - 3/4  Inch, 600# , Thk/Sch - 160 , Material - ASTM A105, Face/Finish - RF/125AARH , Dimn. Std. - ASME B16.5</t>
  </si>
  <si>
    <t>Gross Total Amount (inclusive of all applicable taxes &amp; duties excluding GST)
[1+2+3+4+5+6+7]</t>
  </si>
  <si>
    <t>Total amount of quoted prices incusive  of all applicable taxex, duties except GST</t>
  </si>
  <si>
    <t>6 kg capacity DCP fire extinguisher (portable) considered  1 no. for each locations</t>
  </si>
  <si>
    <t>DISMANTLING AND CLEARING OF FILTERING/ METERING/ PRS  SKID / SCRAPER TRAPS &amp; OTHER EQUIPMENTS</t>
  </si>
  <si>
    <t xml:space="preserve">Dismantling and Clearing of old (presently installed) Skid / Scraper Traps and or other Equipments, as per instruction of EIC.  
Contractor scope also include to provide necessary manpower, equipments &amp; machinery for the above work.
</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</si>
  <si>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</si>
  <si>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</si>
  <si>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</si>
  <si>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</si>
  <si>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</si>
  <si>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</si>
  <si>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</si>
  <si>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</si>
  <si>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</si>
  <si>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</si>
  <si>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</si>
  <si>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</si>
  <si>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</si>
  <si>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</si>
  <si>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</si>
  <si>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</si>
  <si>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Manufacturing, transporting, supplying and erecting in position Reinforced Cement Concrete </t>
    </r>
    <r>
      <rPr>
        <b/>
        <sz val="10"/>
        <rFont val="Arial"/>
        <family val="2"/>
      </rPr>
      <t xml:space="preserve">PRECAST ELEMENTS </t>
    </r>
    <r>
      <rPr>
        <sz val="10"/>
        <rFont val="Arial"/>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</si>
  <si>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</si>
  <si>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Supply, installation, testing, commissioning of Flameproof Flood Lighting Fixtures suitable for 250/400W HPMV or Equivalent LED  Lamps for including all fixing arrangements on top of terrace of container and all material and labour as per specifications, drawings and instruction of EIC. Work to be completed in all respects.</t>
  </si>
  <si>
    <t xml:space="preserve">Supply and installation of Porta Cabin of size (4 mtr X 3 mtr ) as per drawing attached in bid document including associated civil foundation works. </t>
  </si>
  <si>
    <t>Floor mounted MEDB consisting of busbar chamber, cable alley, Incomer - 1 no. 200 Amp FP MCCB, Auto healthy phase selector &amp; Outgoing - 2 nos. 100 Amp FP MCB, 9 nos. 63 Amp FP MCB, 3 nos. 32 Amp FP MCB(as per technical specification, data sheet &amp; SLD enclosed with this tender), complete with ammeter, voltmeter, energy meter, voltage selector switch, indicating Lamps etc.</t>
  </si>
  <si>
    <t>E00310</t>
  </si>
  <si>
    <t>Recess/Surface mounted Indoor Lighting Panel(ILP) Consisting of 40 Amp FP MCB+ELCB as incomer and 12 nos. 10A DP MCBs as out goings.</t>
  </si>
  <si>
    <t>E00320</t>
  </si>
  <si>
    <t>Recess/Surface mounted Power Panel(PP) Consisting of 63 Amp FP MCB as incomer and 9 nos. 20A DP MCBs as out goings.</t>
  </si>
  <si>
    <t>E00330</t>
  </si>
  <si>
    <t>Recess/Surface mounted Outdoor Lighting Panel OLP (For External Lighting) Consisting of 40 Amp FP MCB+ELCB as incomer, Contactor, timer, A/M switch, PB, indication Lamp etc
Outgoing Through Timer:
6 Nos. 16 Amp DP MCB</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</si>
  <si>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</si>
  <si>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</si>
  <si>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</si>
  <si>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</si>
  <si>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</si>
  <si>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</si>
  <si>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</si>
  <si>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</si>
  <si>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</si>
  <si>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</si>
  <si>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</si>
  <si>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</si>
  <si>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</si>
  <si>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</si>
  <si>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</si>
  <si>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</si>
  <si>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</si>
  <si>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CV017.04.00 </t>
  </si>
  <si>
    <t xml:space="preserve"> </t>
  </si>
  <si>
    <t>DOCUMENT NO. (PA01)</t>
  </si>
  <si>
    <t>E-Tender No.</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</si>
  <si>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</si>
  <si>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</si>
  <si>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</si>
  <si>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</si>
  <si>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</si>
  <si>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</si>
  <si>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</si>
  <si>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</si>
  <si>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</si>
  <si>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</si>
  <si>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</si>
  <si>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</si>
  <si>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</si>
  <si>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E-TENDER NO. </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</si>
  <si>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</si>
  <si>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</si>
  <si>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</si>
  <si>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</si>
  <si>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</si>
  <si>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</si>
  <si>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B009100</t>
  </si>
  <si>
    <t>B009110</t>
  </si>
  <si>
    <t>B0011010</t>
  </si>
  <si>
    <t>B0012000</t>
  </si>
  <si>
    <t>B0012010</t>
  </si>
  <si>
    <t>B002340</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</si>
  <si>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</si>
  <si>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</si>
  <si>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</si>
  <si>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B0030010</t>
  </si>
  <si>
    <t>6" NB Piping different grades &amp; thickness</t>
  </si>
  <si>
    <t>B03600</t>
  </si>
  <si>
    <t>Supply of Reducer (CONCENTRIC) as per details given below:</t>
  </si>
  <si>
    <t>B003610</t>
  </si>
  <si>
    <t>2" X 3/4" 6A1  XS x XXS ASTM A 234 GR. WPB B.W, ASME B16.25</t>
  </si>
  <si>
    <t>Radiography 6" NB</t>
  </si>
  <si>
    <t>B001040</t>
  </si>
  <si>
    <t>8" NB Piping different grades &amp; thickness</t>
  </si>
  <si>
    <t>Radiography 8" NB</t>
  </si>
  <si>
    <t>B004030</t>
  </si>
  <si>
    <t>B004050</t>
  </si>
  <si>
    <t>Size - 2 Inch, 600# , Thk/Sch - XS , Material - ASTM A105, Face/Finish - RF/125AARH , Dimn. Std. - ASME B16.5</t>
  </si>
  <si>
    <t>Size - 2 Inch, 600# , Material - ASTM A105, Face/Finish - RF/125AARH , Dimn. Std. - ASME B16.5</t>
  </si>
  <si>
    <t>Size - 4.0 Inch x 2.0 Inch, Thk/Sch - XS, Material - ASTM A 105 (CHARPY), Dimn. Std. - ASME B 16.9</t>
  </si>
  <si>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</si>
  <si>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Transportation by Trailer Fix up to 0-50 KM (Weight up to 18 Ton) per trip</t>
  </si>
  <si>
    <t xml:space="preserve">Transportation by Truck Fix up to 0-50 KM (Weight up to 10 Ton) per trip </t>
  </si>
  <si>
    <t>Transportation by Trailer Capacoty 20 Ton (40' L X 8.6' W X 7' H) Beyond 50 KM in addition to SOR Item No. B006010.</t>
  </si>
  <si>
    <t>Transportation by Truck (Weight up to 10 Ton) Beyond 50 KM in addition to SOR Item No. B006020.</t>
  </si>
  <si>
    <t>10 kg capacity DCP fire extinguisher (portable) considered  1 no. for each locations</t>
  </si>
  <si>
    <t>B007040</t>
  </si>
  <si>
    <t xml:space="preserve">Size - 2 Inch, 600#, Flange Ends, Design Standard - BS EN 1SO 15761, </t>
  </si>
  <si>
    <r>
      <rPr>
        <b/>
        <sz val="10"/>
        <rFont val="Tahoma"/>
        <family val="2"/>
      </rPr>
      <t xml:space="preserve">Note: </t>
    </r>
    <r>
      <rPr>
        <sz val="10"/>
        <rFont val="Tahoma"/>
        <family val="2"/>
      </rPr>
      <t xml:space="preserve">
(1)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</si>
  <si>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Piping different grades &amp; thickness upto 12" dia Pipe</t>
  </si>
  <si>
    <t>Piping different grades &amp; thickness above 12" and upto 36" dia Pipe</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</si>
  <si>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</si>
  <si>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NDT (Radiography),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</si>
  <si>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COST ESTIMATE : SECTION-A (MAIN LINE WORKS)</t>
  </si>
  <si>
    <t>COST ESTIMATE : SECTION-B [MECHANICAL (PIPING &amp; TERMINAL WORKS)]</t>
  </si>
  <si>
    <r>
      <rPr>
        <b/>
        <sz val="16"/>
        <rFont val="Arial"/>
        <family val="2"/>
      </rPr>
      <t>COST ESTIMATE : SECTION-C [CIVIL / STRUCTURAL &amp; ARCHITECTURAL]</t>
    </r>
    <r>
      <rPr>
        <b/>
        <sz val="12"/>
        <rFont val="Arial"/>
        <family val="2"/>
      </rPr>
      <t xml:space="preserve">
</t>
    </r>
  </si>
  <si>
    <t>COST ESTIMATE : SECTION-E [ELECTRICAL WORKS]</t>
  </si>
  <si>
    <t>COST ESTIMATE : SECTION-F [INSTRUMENTATION WORKS]</t>
  </si>
  <si>
    <t>COST ESTIMATE : SECTION-G [TELECOM WORKS]</t>
  </si>
  <si>
    <t xml:space="preserve">
SUMMARY OF COST ESTIMATE</t>
  </si>
  <si>
    <t>Note: For Hook-up works at tap-off point, Despatch &amp; Receiving Terminal  including making provision for hooking up and carrying out shutdown activities at  terminals if necessary shall be paid as per SOR number B008000</t>
  </si>
  <si>
    <t>B002730</t>
  </si>
  <si>
    <t>B008020</t>
  </si>
  <si>
    <t>Supply of Butt/Socket Welded (SW) Ends Ball Valves as per  PMS and Data Sheet</t>
  </si>
  <si>
    <t>Size - 2 Inch, 600#, BW Ends, Design Standard - BS EN 1SO 17292, Floating type, Full Bore Ball Valve, Lever Operated</t>
  </si>
  <si>
    <t xml:space="preserve">CV018.04.00 </t>
  </si>
  <si>
    <t xml:space="preserve">CV019.01.00 </t>
  </si>
  <si>
    <t xml:space="preserve">CV019.00.00 </t>
  </si>
  <si>
    <t>Supply &amp; Installation of Porta Cabin</t>
  </si>
  <si>
    <r>
      <t>M</t>
    </r>
    <r>
      <rPr>
        <vertAlign val="superscript"/>
        <sz val="11"/>
        <rFont val="Arial"/>
        <family val="2"/>
      </rPr>
      <t>2</t>
    </r>
  </si>
  <si>
    <r>
      <t>M</t>
    </r>
    <r>
      <rPr>
        <vertAlign val="superscript"/>
        <sz val="11"/>
        <rFont val="Arial"/>
        <family val="2"/>
      </rPr>
      <t>3</t>
    </r>
  </si>
  <si>
    <t xml:space="preserve">Project :  Laying Tender for Construction of Steel Pipeline and Associated Facilities for CGD/LMC Facilities -  HCG Jhajjar
</t>
  </si>
  <si>
    <t>Project :  Laying Tender for Construction of Steel Pipeline and Associated Facilities for CGD/LMC Facilities - HCG Jhajjar</t>
  </si>
  <si>
    <t>Project :  Laying Tender for Construction of Steel Pipeline and Associated Facilities for CGD/LMC Facilities -HCG Jhajjar</t>
  </si>
  <si>
    <t>Project :  Laying Tender for Construction of Steel Pipeline and Associated Facilities for CGD/LMC Facilities -  HCG Jhajjar</t>
  </si>
  <si>
    <t>Project : Laying Tender for Construction of Steel Pipeline and Associated Facilities for CGD/LMC Facilities -  HCG Jhajjar</t>
  </si>
  <si>
    <t>Project : Laying Tender for Construction of Steel Pipeline and Associated Facilities for CGD/LMC Facilities - HCG Jhajjar</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</si>
  <si>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</si>
  <si>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</si>
  <si>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</si>
  <si>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</si>
  <si>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</si>
  <si>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</si>
  <si>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</si>
  <si>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</si>
  <si>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</si>
  <si>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</si>
  <si>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</si>
  <si>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</si>
  <si>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</si>
  <si>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</si>
  <si>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</si>
  <si>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</si>
  <si>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</si>
  <si>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</si>
  <si>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</si>
  <si>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</si>
  <si>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</si>
  <si>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 PART A
  LAYING TENDER FOR 
CONSTRUCTION OF STEEL PIPELINE AND ASSOCIATED FACILITIES FOR CGD CONNECTIVITY -- M/s  HARYANA CITY GAS KCE JHAJJAR</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</si>
</sst>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_(* #,##0_);_(* \(#,##0\);_(* &quot;-&quot;??_);_(@_)"/>
  </numFmts>
  <fonts count="59">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b/>
      <vertAlign val="superscript"/>
      <sz val="10"/>
      <name val="Arial"/>
      <family val="2"/>
    </font>
    <font>
      <sz val="11"/>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b/>
      <sz val="16"/>
      <name val="Arial"/>
      <family val="2"/>
    </font>
    <font>
      <sz val="10"/>
      <name val="Arial"/>
      <family val="2"/>
    </font>
    <font>
      <vertAlign val="superscript"/>
      <sz val="10"/>
      <name val="Arial"/>
      <family val="2"/>
    </font>
    <font>
      <b/>
      <sz val="8"/>
      <name val="Tahoma"/>
      <family val="2"/>
    </font>
    <font>
      <b/>
      <sz val="16"/>
      <name val="Tahoma"/>
      <family val="2"/>
    </font>
    <font>
      <b/>
      <sz val="11"/>
      <color theme="1"/>
      <name val="Calibri"/>
      <family val="2"/>
      <scheme val="minor"/>
    </font>
    <font>
      <vertAlign val="superscript"/>
      <sz val="11"/>
      <name val="Arial"/>
      <family val="2"/>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7">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1" fillId="0" borderId="0"/>
    <xf numFmtId="0" fontId="22" fillId="0" borderId="0"/>
    <xf numFmtId="0" fontId="2" fillId="0" borderId="0"/>
    <xf numFmtId="0" fontId="29" fillId="0" borderId="0"/>
    <xf numFmtId="0" fontId="42" fillId="0" borderId="0"/>
    <xf numFmtId="0" fontId="43" fillId="0" borderId="0"/>
    <xf numFmtId="0" fontId="51" fillId="0" borderId="0"/>
    <xf numFmtId="0" fontId="9" fillId="0" borderId="0"/>
    <xf numFmtId="0" fontId="9" fillId="0" borderId="0"/>
    <xf numFmtId="43" fontId="9" fillId="0" borderId="0" applyFont="0" applyFill="0" applyBorder="0" applyAlignment="0" applyProtection="0"/>
    <xf numFmtId="0" fontId="2" fillId="0" borderId="0"/>
    <xf numFmtId="0" fontId="2" fillId="0" borderId="0"/>
    <xf numFmtId="0" fontId="2" fillId="0" borderId="0"/>
    <xf numFmtId="0" fontId="9" fillId="0" borderId="0"/>
  </cellStyleXfs>
  <cellXfs count="349">
    <xf numFmtId="0" fontId="0" fillId="0" borderId="0" xfId="0"/>
    <xf numFmtId="0" fontId="49"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0" fillId="0" borderId="0" xfId="0" applyProtection="1"/>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0" xfId="55" applyFont="1" applyFill="1" applyAlignment="1" applyProtection="1">
      <alignment horizontal="center" vertical="center" wrapText="1"/>
      <protection locked="0"/>
    </xf>
    <xf numFmtId="0" fontId="39" fillId="6" borderId="0" xfId="55" applyFont="1" applyFill="1" applyAlignment="1" applyProtection="1">
      <alignment horizontal="center" vertical="center" wrapText="1"/>
      <protection locked="0"/>
    </xf>
    <xf numFmtId="0" fontId="39" fillId="6" borderId="0"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0" fontId="2" fillId="6" borderId="0" xfId="57" applyFont="1" applyFill="1" applyAlignment="1" applyProtection="1">
      <alignment horizontal="center" vertical="center" wrapText="1"/>
    </xf>
    <xf numFmtId="0" fontId="2" fillId="6" borderId="2" xfId="55" applyFont="1" applyFill="1" applyBorder="1" applyAlignment="1" applyProtection="1">
      <alignment horizontal="left" vertical="center" wrapText="1"/>
    </xf>
    <xf numFmtId="1" fontId="2" fillId="6" borderId="2" xfId="55" applyNumberFormat="1" applyFont="1" applyFill="1" applyBorder="1" applyAlignment="1" applyProtection="1">
      <alignment horizontal="center" vertical="center" wrapText="1"/>
    </xf>
    <xf numFmtId="0" fontId="2" fillId="6" borderId="0" xfId="55" applyFont="1" applyFill="1" applyBorder="1" applyAlignment="1" applyProtection="1">
      <alignment horizontal="center" vertical="center" wrapText="1"/>
    </xf>
    <xf numFmtId="4" fontId="2" fillId="6" borderId="0" xfId="55" applyNumberFormat="1"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2"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5" fillId="6" borderId="0" xfId="32" applyFont="1" applyFill="1" applyBorder="1" applyAlignment="1" applyProtection="1">
      <alignment horizontal="center" vertical="center"/>
    </xf>
    <xf numFmtId="0" fontId="45"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53" fillId="0" borderId="2" xfId="55" applyFont="1" applyFill="1" applyBorder="1" applyAlignment="1" applyProtection="1">
      <alignment horizontal="center" wrapText="1"/>
    </xf>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xf>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57" applyFont="1" applyFill="1" applyAlignment="1">
      <alignment horizontal="center" vertical="center" wrapText="1"/>
    </xf>
    <xf numFmtId="0" fontId="3" fillId="6" borderId="0" xfId="55" applyFont="1" applyFill="1" applyAlignment="1" applyProtection="1">
      <alignment horizontal="center" vertical="center"/>
      <protection locked="0"/>
    </xf>
    <xf numFmtId="0" fontId="3" fillId="6" borderId="0" xfId="57" applyFont="1" applyFill="1" applyAlignment="1">
      <alignment horizontal="center" vertical="center"/>
    </xf>
    <xf numFmtId="0" fontId="0" fillId="0" borderId="0" xfId="0" applyAlignment="1">
      <alignment vertical="center"/>
    </xf>
    <xf numFmtId="0" fontId="2" fillId="6" borderId="0" xfId="1" applyFill="1" applyAlignment="1">
      <alignment horizontal="center" vertical="center"/>
    </xf>
    <xf numFmtId="0" fontId="3" fillId="6" borderId="0" xfId="1" applyFont="1" applyFill="1" applyAlignment="1">
      <alignment horizontal="center" vertical="center"/>
    </xf>
    <xf numFmtId="0" fontId="2"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169" fontId="39" fillId="6" borderId="2" xfId="72" applyNumberFormat="1" applyFont="1" applyFill="1" applyBorder="1" applyAlignment="1" applyProtection="1">
      <alignment horizontal="center" vertical="center" wrapText="1"/>
    </xf>
    <xf numFmtId="169" fontId="38" fillId="6" borderId="2" xfId="72" applyNumberFormat="1" applyFont="1" applyFill="1" applyBorder="1" applyAlignment="1" applyProtection="1">
      <alignment horizontal="center" vertical="center" wrapText="1"/>
    </xf>
    <xf numFmtId="169" fontId="3" fillId="6" borderId="0" xfId="72" applyNumberFormat="1" applyFont="1" applyFill="1" applyAlignment="1" applyProtection="1">
      <alignment horizontal="center" vertical="top"/>
      <protection locked="0"/>
    </xf>
    <xf numFmtId="169" fontId="3" fillId="6" borderId="0" xfId="72" applyNumberFormat="1" applyFont="1" applyFill="1" applyAlignment="1" applyProtection="1">
      <alignment vertical="top"/>
      <protection locked="0"/>
    </xf>
    <xf numFmtId="1" fontId="2" fillId="0" borderId="2" xfId="55" applyNumberFormat="1" applyFont="1" applyFill="1" applyBorder="1" applyAlignment="1" applyProtection="1">
      <alignment horizontal="center" vertical="center" wrapText="1"/>
    </xf>
    <xf numFmtId="1" fontId="2" fillId="0" borderId="2" xfId="55" applyNumberFormat="1" applyFont="1" applyFill="1" applyBorder="1" applyAlignment="1" applyProtection="1">
      <alignment horizontal="center" vertical="center" wrapText="1"/>
      <protection locked="0"/>
    </xf>
    <xf numFmtId="1" fontId="8" fillId="6" borderId="2" xfId="57" applyNumberFormat="1" applyFont="1" applyFill="1" applyBorder="1" applyAlignment="1" applyProtection="1">
      <alignment horizontal="center" vertical="center" wrapText="1"/>
    </xf>
    <xf numFmtId="1" fontId="3" fillId="6" borderId="0" xfId="57" applyNumberFormat="1" applyFont="1" applyFill="1" applyAlignment="1" applyProtection="1">
      <alignment vertical="top"/>
    </xf>
    <xf numFmtId="169" fontId="2" fillId="0" borderId="2" xfId="72" applyNumberFormat="1" applyFont="1" applyFill="1" applyBorder="1" applyAlignment="1" applyProtection="1">
      <alignment horizontal="center" vertical="center" wrapText="1"/>
    </xf>
    <xf numFmtId="169" fontId="3" fillId="6" borderId="0" xfId="72" applyNumberFormat="1" applyFont="1" applyFill="1" applyAlignment="1" applyProtection="1">
      <alignment vertical="top"/>
    </xf>
    <xf numFmtId="1" fontId="2" fillId="6" borderId="0" xfId="32" applyNumberFormat="1" applyFont="1" applyFill="1" applyBorder="1" applyAlignment="1" applyProtection="1">
      <alignment horizontal="center" vertical="center"/>
    </xf>
    <xf numFmtId="1" fontId="8" fillId="6" borderId="0" xfId="32" applyNumberFormat="1" applyFont="1" applyFill="1" applyBorder="1" applyAlignment="1" applyProtection="1">
      <alignment horizontal="center" vertical="center"/>
    </xf>
    <xf numFmtId="169" fontId="2" fillId="6" borderId="0" xfId="72" applyNumberFormat="1" applyFont="1" applyFill="1" applyBorder="1" applyAlignment="1" applyProtection="1">
      <alignment horizontal="center" vertical="center"/>
    </xf>
    <xf numFmtId="169" fontId="8" fillId="6" borderId="0" xfId="72" applyNumberFormat="1" applyFont="1" applyFill="1" applyBorder="1" applyAlignment="1" applyProtection="1">
      <alignment horizontal="center" vertical="center"/>
    </xf>
    <xf numFmtId="1" fontId="0" fillId="0" borderId="0" xfId="0" applyNumberFormat="1" applyProtection="1"/>
    <xf numFmtId="169" fontId="0" fillId="0" borderId="0" xfId="0" applyNumberFormat="1" applyProtection="1"/>
    <xf numFmtId="1" fontId="2" fillId="6" borderId="0" xfId="1" applyNumberFormat="1" applyFont="1" applyFill="1" applyBorder="1" applyProtection="1"/>
    <xf numFmtId="1" fontId="3" fillId="6" borderId="0" xfId="1" applyNumberFormat="1" applyFont="1" applyFill="1" applyBorder="1" applyProtection="1"/>
    <xf numFmtId="169" fontId="2" fillId="6" borderId="0" xfId="1" applyNumberFormat="1" applyFont="1" applyFill="1" applyBorder="1" applyProtection="1"/>
    <xf numFmtId="169" fontId="3" fillId="6" borderId="0" xfId="1" applyNumberFormat="1" applyFont="1" applyFill="1" applyBorder="1" applyProtection="1"/>
    <xf numFmtId="169" fontId="8" fillId="0" borderId="2" xfId="1" applyNumberFormat="1" applyFont="1" applyFill="1" applyBorder="1" applyAlignment="1" applyProtection="1">
      <alignment horizontal="center" vertical="center" wrapText="1"/>
    </xf>
    <xf numFmtId="169" fontId="7" fillId="0" borderId="2" xfId="72" quotePrefix="1" applyNumberFormat="1" applyFont="1" applyFill="1" applyBorder="1" applyAlignment="1" applyProtection="1">
      <alignment horizontal="center" vertical="center" wrapText="1"/>
    </xf>
    <xf numFmtId="169" fontId="2" fillId="0" borderId="2" xfId="56" applyNumberFormat="1" applyFont="1" applyFill="1" applyBorder="1" applyAlignment="1" applyProtection="1">
      <alignment horizontal="center" vertical="center" wrapText="1"/>
      <protection locked="0"/>
    </xf>
    <xf numFmtId="169" fontId="2" fillId="0" borderId="2" xfId="72" applyNumberFormat="1" applyFont="1" applyFill="1" applyBorder="1" applyAlignment="1" applyProtection="1">
      <alignment horizontal="center" vertical="center" wrapText="1"/>
      <protection locked="0"/>
    </xf>
    <xf numFmtId="169" fontId="8" fillId="0" borderId="2" xfId="72" applyNumberFormat="1" applyFont="1" applyFill="1" applyBorder="1" applyAlignment="1" applyProtection="1">
      <alignment horizontal="center" vertical="center" wrapText="1"/>
    </xf>
    <xf numFmtId="169" fontId="35" fillId="0" borderId="0" xfId="56" applyNumberFormat="1" applyFont="1" applyFill="1" applyAlignment="1" applyProtection="1">
      <alignment horizontal="center" vertical="center" wrapText="1"/>
      <protection locked="0"/>
    </xf>
    <xf numFmtId="1" fontId="8" fillId="0" borderId="2" xfId="1" applyNumberFormat="1" applyFont="1" applyFill="1" applyBorder="1" applyAlignment="1" applyProtection="1">
      <alignment horizontal="center" vertical="center" wrapText="1"/>
    </xf>
    <xf numFmtId="1" fontId="7" fillId="0" borderId="2" xfId="2" quotePrefix="1" applyNumberFormat="1"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protection locked="0"/>
    </xf>
    <xf numFmtId="1" fontId="2" fillId="0" borderId="2" xfId="57" applyNumberFormat="1" applyFont="1" applyFill="1" applyBorder="1" applyAlignment="1" applyProtection="1">
      <alignment horizontal="center" vertical="center" wrapText="1"/>
      <protection locked="0"/>
    </xf>
    <xf numFmtId="1" fontId="35" fillId="0" borderId="0" xfId="56" applyNumberFormat="1" applyFont="1" applyFill="1" applyAlignment="1" applyProtection="1">
      <alignment horizontal="center" vertical="center" wrapText="1"/>
      <protection locked="0"/>
    </xf>
    <xf numFmtId="0" fontId="44" fillId="0" borderId="2" xfId="2" applyFont="1" applyFill="1" applyBorder="1" applyAlignment="1" applyProtection="1">
      <alignment horizontal="center"/>
      <protection locked="0"/>
    </xf>
    <xf numFmtId="0" fontId="37" fillId="0" borderId="2" xfId="2" applyFont="1" applyFill="1" applyBorder="1" applyAlignment="1" applyProtection="1">
      <alignment horizontal="center" wrapText="1"/>
    </xf>
    <xf numFmtId="0" fontId="2" fillId="0" borderId="0" xfId="2" applyFont="1" applyFill="1" applyBorder="1" applyAlignment="1" applyProtection="1">
      <alignment vertical="center"/>
      <protection locked="0"/>
    </xf>
    <xf numFmtId="0" fontId="6" fillId="0" borderId="0" xfId="55" applyFont="1" applyFill="1"/>
    <xf numFmtId="0" fontId="30" fillId="0" borderId="0" xfId="55" applyFont="1" applyFill="1" applyAlignment="1" applyProtection="1">
      <alignment vertical="top"/>
      <protection locked="0"/>
    </xf>
    <xf numFmtId="0" fontId="30" fillId="0" borderId="0" xfId="55" applyFont="1" applyFill="1" applyAlignment="1" applyProtection="1">
      <alignment vertical="top"/>
    </xf>
    <xf numFmtId="0" fontId="8" fillId="0" borderId="2" xfId="2" applyFont="1" applyFill="1" applyBorder="1" applyAlignment="1" applyProtection="1">
      <alignment horizontal="center" vertical="center"/>
    </xf>
    <xf numFmtId="0" fontId="45" fillId="0" borderId="2" xfId="2" applyFont="1" applyFill="1" applyBorder="1" applyAlignment="1" applyProtection="1">
      <alignment horizontal="center" vertical="center" wrapText="1"/>
    </xf>
    <xf numFmtId="0" fontId="45" fillId="0" borderId="2" xfId="2" applyFont="1" applyFill="1" applyBorder="1" applyAlignment="1">
      <alignment horizontal="center" vertical="center" wrapText="1"/>
    </xf>
    <xf numFmtId="0" fontId="2" fillId="0" borderId="0" xfId="2" applyFont="1" applyFill="1" applyBorder="1" applyAlignment="1" applyProtection="1">
      <alignment horizontal="center" vertical="center"/>
      <protection locked="0"/>
    </xf>
    <xf numFmtId="0" fontId="8" fillId="0" borderId="2" xfId="56"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2" fillId="0" borderId="0" xfId="56" applyFont="1" applyFill="1" applyAlignment="1" applyProtection="1">
      <alignment horizontal="center" vertical="center" wrapText="1"/>
      <protection locked="0"/>
    </xf>
    <xf numFmtId="0" fontId="8" fillId="0" borderId="2" xfId="1" applyFont="1" applyFill="1" applyBorder="1" applyAlignment="1" applyProtection="1">
      <alignment horizontal="left"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0" fontId="2" fillId="0" borderId="0" xfId="56"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0" fontId="2" fillId="0" borderId="2" xfId="1" applyFont="1" applyFill="1" applyBorder="1" applyAlignment="1" applyProtection="1">
      <alignment horizontal="left"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0" fontId="8" fillId="0" borderId="2" xfId="32" applyFont="1" applyFill="1" applyBorder="1" applyAlignment="1" applyProtection="1">
      <alignment horizontal="center" vertical="center"/>
    </xf>
    <xf numFmtId="0" fontId="46"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0" fontId="47" fillId="0" borderId="0" xfId="56" applyFont="1" applyFill="1" applyAlignment="1" applyProtection="1">
      <alignment horizontal="center" vertical="center" wrapText="1"/>
      <protection locked="0"/>
    </xf>
    <xf numFmtId="0" fontId="35" fillId="0" borderId="0" xfId="56" applyFont="1" applyFill="1" applyAlignment="1" applyProtection="1">
      <alignment horizontal="center" vertical="center" wrapText="1"/>
      <protection locked="0"/>
    </xf>
    <xf numFmtId="0" fontId="36" fillId="0" borderId="2" xfId="68" applyFont="1" applyFill="1" applyBorder="1" applyAlignment="1" applyProtection="1">
      <alignment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43" fillId="0" borderId="2" xfId="68" applyFill="1" applyBorder="1" applyAlignment="1">
      <alignment horizontal="center" vertical="center"/>
    </xf>
    <xf numFmtId="1" fontId="2" fillId="0" borderId="2" xfId="1" applyNumberFormat="1" applyFont="1" applyFill="1" applyBorder="1" applyAlignment="1" applyProtection="1">
      <alignment horizontal="center" vertical="center" wrapText="1"/>
      <protection locked="0"/>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1" fontId="3" fillId="0" borderId="2" xfId="0" applyNumberFormat="1" applyFont="1" applyFill="1" applyBorder="1" applyAlignment="1" applyProtection="1">
      <alignment horizontal="center" vertical="center" wrapText="1"/>
      <protection locked="0"/>
    </xf>
    <xf numFmtId="169" fontId="3" fillId="0" borderId="2" xfId="72" applyNumberFormat="1"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10" xfId="1" applyNumberFormat="1" applyFont="1" applyFill="1" applyBorder="1" applyAlignment="1">
      <alignment vertical="center" wrapText="1"/>
    </xf>
    <xf numFmtId="1" fontId="3" fillId="0" borderId="2" xfId="0" applyNumberFormat="1" applyFont="1" applyFill="1" applyBorder="1" applyAlignment="1" applyProtection="1">
      <alignment vertical="center" wrapText="1"/>
      <protection locked="0"/>
    </xf>
    <xf numFmtId="1" fontId="3" fillId="0" borderId="2" xfId="1" applyNumberFormat="1" applyFont="1" applyFill="1" applyBorder="1" applyAlignment="1" applyProtection="1">
      <alignment horizontal="center" vertical="center" wrapText="1"/>
      <protection locked="0"/>
    </xf>
    <xf numFmtId="1" fontId="3" fillId="0" borderId="2" xfId="1" applyNumberFormat="1" applyFont="1" applyFill="1" applyBorder="1" applyAlignment="1" applyProtection="1">
      <alignment horizontal="center" vertical="center" wrapText="1"/>
    </xf>
    <xf numFmtId="169" fontId="1" fillId="0" borderId="2" xfId="72" applyNumberFormat="1"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8" fillId="0" borderId="2" xfId="32" applyFont="1" applyFill="1" applyBorder="1" applyAlignment="1" applyProtection="1">
      <alignment vertical="center"/>
    </xf>
    <xf numFmtId="0" fontId="2" fillId="0" borderId="2" xfId="32" applyFont="1" applyFill="1" applyBorder="1" applyAlignment="1" applyProtection="1">
      <alignment vertical="center"/>
    </xf>
    <xf numFmtId="1" fontId="8" fillId="0" borderId="2" xfId="32" applyNumberFormat="1" applyFont="1" applyFill="1" applyBorder="1" applyAlignment="1" applyProtection="1">
      <alignment horizontal="center" vertical="center" wrapText="1"/>
      <protection locked="0"/>
    </xf>
    <xf numFmtId="0" fontId="38" fillId="0" borderId="2" xfId="55" applyFont="1" applyFill="1" applyBorder="1" applyAlignment="1" applyProtection="1">
      <alignment horizontal="center" vertical="center" wrapText="1"/>
      <protection locked="0"/>
    </xf>
    <xf numFmtId="0" fontId="2" fillId="0" borderId="2" xfId="32" applyFont="1" applyFill="1" applyBorder="1" applyAlignment="1" applyProtection="1">
      <alignment horizontal="left" vertical="top" wrapText="1"/>
    </xf>
    <xf numFmtId="1" fontId="2" fillId="0" borderId="2" xfId="32" applyNumberFormat="1" applyFont="1" applyFill="1" applyBorder="1" applyAlignment="1" applyProtection="1">
      <alignment horizontal="center" vertical="center"/>
      <protection locked="0"/>
    </xf>
    <xf numFmtId="0" fontId="8" fillId="0" borderId="2" xfId="57" applyFont="1" applyFill="1" applyBorder="1" applyAlignment="1" applyProtection="1">
      <alignment horizontal="center" vertical="center" wrapText="1"/>
    </xf>
    <xf numFmtId="1" fontId="8" fillId="0" borderId="2" xfId="32" applyNumberFormat="1" applyFont="1" applyFill="1" applyBorder="1" applyAlignment="1" applyProtection="1">
      <alignment horizontal="center" vertical="center"/>
      <protection locked="0"/>
    </xf>
    <xf numFmtId="0" fontId="2"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1" fontId="8" fillId="0" borderId="2" xfId="32" applyNumberFormat="1" applyFont="1" applyFill="1" applyBorder="1" applyAlignment="1" applyProtection="1">
      <alignment horizontal="justify" vertical="center"/>
      <protection locked="0"/>
    </xf>
    <xf numFmtId="0" fontId="8" fillId="0" borderId="2" xfId="55"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1" fontId="8" fillId="0" borderId="2" xfId="2" quotePrefix="1" applyNumberFormat="1" applyFont="1" applyFill="1" applyBorder="1" applyAlignment="1" applyProtection="1">
      <alignment horizontal="center" vertical="center" wrapText="1"/>
    </xf>
    <xf numFmtId="169" fontId="8" fillId="0" borderId="2" xfId="72" quotePrefix="1" applyNumberFormat="1" applyFont="1" applyFill="1" applyBorder="1" applyAlignment="1" applyProtection="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ont="1" applyFill="1" applyBorder="1" applyAlignment="1" applyProtection="1">
      <alignment horizontal="left"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2" fillId="0" borderId="2" xfId="2" applyFont="1" applyFill="1" applyBorder="1" applyAlignment="1" applyProtection="1">
      <alignment horizontal="center" vertical="center" wrapText="1"/>
    </xf>
    <xf numFmtId="0" fontId="8" fillId="0" borderId="2" xfId="2" applyFont="1" applyFill="1" applyBorder="1" applyAlignment="1" applyProtection="1">
      <alignment horizontal="left" vertical="center" wrapText="1"/>
    </xf>
    <xf numFmtId="0" fontId="2" fillId="0" borderId="2" xfId="55" applyFont="1" applyFill="1" applyBorder="1" applyAlignment="1">
      <alignment horizontal="center" vertical="center"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2" fontId="2" fillId="0" borderId="2" xfId="2" applyNumberFormat="1" applyFont="1" applyFill="1" applyBorder="1" applyAlignment="1" applyProtection="1">
      <alignment horizontal="left" vertical="center" wrapText="1"/>
    </xf>
    <xf numFmtId="2" fontId="3" fillId="0" borderId="2" xfId="2" applyNumberFormat="1" applyFont="1" applyFill="1" applyBorder="1" applyAlignment="1">
      <alignment horizontal="left" vertical="center" wrapText="1"/>
    </xf>
    <xf numFmtId="0" fontId="2" fillId="0" borderId="2" xfId="2" applyFont="1" applyFill="1" applyBorder="1" applyAlignment="1" applyProtection="1">
      <alignment vertical="center"/>
    </xf>
    <xf numFmtId="0" fontId="3"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3" fillId="0" borderId="2" xfId="0"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169" fontId="34" fillId="0" borderId="2" xfId="55" applyNumberFormat="1" applyFont="1" applyFill="1" applyBorder="1" applyAlignment="1">
      <alignment horizontal="center" vertical="center" wrapText="1"/>
    </xf>
    <xf numFmtId="0" fontId="3" fillId="0" borderId="2" xfId="55" applyFont="1" applyFill="1" applyBorder="1" applyAlignment="1">
      <alignment horizontal="justify" vertical="center" wrapText="1"/>
    </xf>
    <xf numFmtId="0" fontId="1" fillId="0" borderId="2" xfId="65"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2" xfId="55" applyFont="1"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0" fontId="37" fillId="0" borderId="10" xfId="2" applyFont="1" applyFill="1" applyBorder="1" applyAlignment="1" applyProtection="1">
      <alignment horizontal="center" wrapText="1"/>
    </xf>
    <xf numFmtId="0" fontId="8" fillId="0" borderId="2" xfId="55" applyFont="1" applyFill="1" applyBorder="1" applyAlignment="1" applyProtection="1">
      <alignment horizontal="center" vertical="center" wrapText="1"/>
      <protection locked="0"/>
    </xf>
    <xf numFmtId="0" fontId="39" fillId="0" borderId="2" xfId="55" applyFont="1" applyFill="1" applyBorder="1" applyAlignment="1" applyProtection="1">
      <alignment horizontal="center" vertical="center" wrapText="1"/>
      <protection locked="0"/>
    </xf>
    <xf numFmtId="0" fontId="39" fillId="0" borderId="2" xfId="55" applyFont="1" applyFill="1" applyBorder="1" applyAlignment="1" applyProtection="1">
      <alignment horizontal="center" vertical="center" wrapText="1"/>
    </xf>
    <xf numFmtId="1" fontId="39" fillId="0" borderId="2" xfId="55" applyNumberFormat="1" applyFont="1" applyFill="1" applyBorder="1" applyAlignment="1" applyProtection="1">
      <alignment horizontal="center" vertical="center" wrapText="1"/>
      <protection locked="0"/>
    </xf>
    <xf numFmtId="169" fontId="39" fillId="0" borderId="2" xfId="72" applyNumberFormat="1" applyFont="1" applyFill="1" applyBorder="1" applyAlignment="1" applyProtection="1">
      <alignment horizontal="center" vertical="center" wrapText="1"/>
    </xf>
    <xf numFmtId="0" fontId="33" fillId="0" borderId="2" xfId="66" applyFont="1" applyFill="1" applyBorder="1" applyAlignment="1" applyProtection="1">
      <alignment horizontal="center" vertical="center" wrapText="1"/>
    </xf>
    <xf numFmtId="0" fontId="33"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protection locked="0"/>
    </xf>
    <xf numFmtId="0" fontId="38" fillId="0" borderId="2" xfId="55" applyFont="1" applyFill="1" applyBorder="1" applyAlignment="1" applyProtection="1">
      <alignment horizontal="center" vertical="center" wrapText="1"/>
    </xf>
    <xf numFmtId="1" fontId="38" fillId="0" borderId="2" xfId="55" applyNumberFormat="1" applyFont="1" applyFill="1" applyBorder="1" applyAlignment="1" applyProtection="1">
      <alignment horizontal="center" vertical="center" wrapText="1"/>
    </xf>
    <xf numFmtId="169" fontId="38" fillId="0" borderId="2" xfId="72"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protection locked="0"/>
    </xf>
    <xf numFmtId="169" fontId="6" fillId="0" borderId="2" xfId="72" applyNumberFormat="1" applyFont="1" applyFill="1" applyBorder="1" applyAlignment="1" applyProtection="1">
      <alignment horizontal="center" vertical="center" wrapText="1"/>
    </xf>
    <xf numFmtId="0" fontId="2" fillId="0" borderId="2" xfId="32" applyFont="1" applyFill="1" applyBorder="1" applyAlignment="1" applyProtection="1">
      <alignment horizontal="center" vertical="center"/>
    </xf>
    <xf numFmtId="0" fontId="2" fillId="0" borderId="2" xfId="32" applyFont="1" applyFill="1" applyBorder="1" applyAlignment="1">
      <alignment horizontal="center" vertical="center"/>
    </xf>
    <xf numFmtId="0" fontId="6" fillId="0" borderId="2" xfId="54" applyFont="1" applyFill="1" applyBorder="1" applyAlignment="1" applyProtection="1">
      <alignment horizontal="center" vertical="center" wrapText="1"/>
    </xf>
    <xf numFmtId="169" fontId="30" fillId="0" borderId="2" xfId="72" applyNumberFormat="1" applyFont="1" applyFill="1" applyBorder="1" applyAlignment="1" applyProtection="1">
      <alignment horizontal="center" vertical="center" wrapText="1"/>
    </xf>
    <xf numFmtId="0" fontId="2" fillId="0" borderId="2" xfId="57" applyFont="1" applyFill="1" applyBorder="1" applyAlignment="1">
      <alignment horizontal="center" vertical="center" wrapText="1"/>
    </xf>
    <xf numFmtId="1" fontId="2" fillId="0" borderId="2" xfId="2" applyNumberFormat="1" applyFont="1" applyFill="1" applyBorder="1" applyAlignment="1">
      <alignment horizontal="center" vertical="center" wrapText="1"/>
    </xf>
    <xf numFmtId="0" fontId="2" fillId="0" borderId="2" xfId="57" applyFont="1" applyFill="1" applyBorder="1" applyAlignment="1">
      <alignment horizontal="left" vertical="center" wrapText="1"/>
    </xf>
    <xf numFmtId="0" fontId="2" fillId="0" borderId="2" xfId="32"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8" fillId="0" borderId="2" xfId="74" applyFont="1" applyFill="1" applyBorder="1" applyAlignment="1" applyProtection="1">
      <alignment horizontal="center" vertical="center"/>
    </xf>
    <xf numFmtId="0" fontId="8" fillId="0" borderId="2" xfId="74" applyFont="1" applyFill="1" applyBorder="1" applyAlignment="1" applyProtection="1">
      <alignment horizontal="justify" vertical="center"/>
    </xf>
    <xf numFmtId="0" fontId="2" fillId="0" borderId="2" xfId="74" applyNumberFormat="1" applyFont="1" applyFill="1" applyBorder="1" applyAlignment="1" applyProtection="1">
      <alignment horizontal="left" vertical="center" wrapText="1"/>
    </xf>
    <xf numFmtId="0" fontId="6" fillId="0" borderId="2" xfId="74" applyFont="1" applyFill="1" applyBorder="1" applyAlignment="1" applyProtection="1">
      <alignment horizontal="center" vertical="center" wrapText="1"/>
    </xf>
    <xf numFmtId="0" fontId="6" fillId="0" borderId="2" xfId="75" applyFont="1" applyFill="1" applyBorder="1" applyAlignment="1">
      <alignment horizontal="center" vertical="center" wrapText="1"/>
    </xf>
    <xf numFmtId="0" fontId="8" fillId="0" borderId="2" xfId="74" applyNumberFormat="1" applyFont="1" applyFill="1" applyBorder="1" applyAlignment="1" applyProtection="1">
      <alignment horizontal="left" vertical="top" wrapText="1"/>
    </xf>
    <xf numFmtId="0" fontId="2" fillId="0" borderId="2" xfId="74" applyNumberFormat="1" applyFont="1" applyFill="1" applyBorder="1" applyAlignment="1" applyProtection="1">
      <alignment horizontal="left" vertical="top" wrapText="1"/>
    </xf>
    <xf numFmtId="0" fontId="8" fillId="0" borderId="2" xfId="74" applyFont="1" applyFill="1" applyBorder="1" applyAlignment="1" applyProtection="1">
      <alignment vertical="center"/>
    </xf>
    <xf numFmtId="0" fontId="2" fillId="0" borderId="2" xfId="74" applyFont="1" applyFill="1" applyBorder="1" applyAlignment="1" applyProtection="1">
      <alignment horizontal="left" vertical="top" wrapText="1"/>
    </xf>
    <xf numFmtId="0" fontId="8" fillId="0" borderId="2" xfId="74" applyFont="1" applyFill="1" applyBorder="1" applyAlignment="1" applyProtection="1">
      <alignment horizontal="justify" vertical="center" wrapText="1"/>
    </xf>
    <xf numFmtId="0" fontId="2" fillId="0" borderId="2" xfId="74" applyFont="1" applyFill="1" applyBorder="1" applyAlignment="1" applyProtection="1">
      <alignment horizontal="justify" vertical="top" wrapText="1"/>
    </xf>
    <xf numFmtId="0" fontId="2" fillId="0" borderId="2" xfId="74" applyFont="1" applyFill="1" applyBorder="1" applyAlignment="1" applyProtection="1">
      <alignment horizontal="justify" vertical="center"/>
    </xf>
    <xf numFmtId="0" fontId="8" fillId="0" borderId="2" xfId="74" applyFont="1" applyFill="1" applyBorder="1" applyAlignment="1" applyProtection="1">
      <alignment horizontal="left" vertical="center"/>
    </xf>
    <xf numFmtId="0" fontId="2" fillId="0" borderId="2" xfId="74" applyFont="1" applyFill="1" applyBorder="1" applyAlignment="1" applyProtection="1">
      <alignment horizontal="justify" vertical="justify" wrapText="1"/>
    </xf>
    <xf numFmtId="0" fontId="8" fillId="0" borderId="2" xfId="74" applyFont="1" applyFill="1" applyBorder="1" applyAlignment="1" applyProtection="1">
      <alignment horizontal="center" vertical="center" wrapText="1"/>
    </xf>
    <xf numFmtId="0" fontId="6" fillId="0" borderId="2" xfId="74" applyFont="1" applyFill="1" applyBorder="1" applyAlignment="1">
      <alignment horizontal="center" vertical="center" wrapText="1"/>
    </xf>
    <xf numFmtId="0" fontId="8" fillId="0" borderId="2" xfId="74" applyFont="1" applyFill="1" applyBorder="1" applyAlignment="1" applyProtection="1">
      <alignment horizontal="justify" vertical="justify" wrapText="1"/>
    </xf>
    <xf numFmtId="1" fontId="6" fillId="0" borderId="2" xfId="75" applyNumberFormat="1" applyFont="1" applyFill="1" applyBorder="1" applyAlignment="1" applyProtection="1">
      <alignment horizontal="center" vertical="center" wrapText="1"/>
      <protection locked="0"/>
    </xf>
    <xf numFmtId="0" fontId="2" fillId="0" borderId="2" xfId="75" applyFont="1" applyFill="1" applyBorder="1" applyAlignment="1" applyProtection="1">
      <alignment horizontal="justify" vertical="top" wrapText="1"/>
    </xf>
    <xf numFmtId="0" fontId="30" fillId="0" borderId="2" xfId="74" applyFont="1" applyFill="1" applyBorder="1" applyAlignment="1" applyProtection="1">
      <alignment vertical="center"/>
    </xf>
    <xf numFmtId="0" fontId="8" fillId="0" borderId="2" xfId="74" applyFont="1" applyFill="1" applyBorder="1" applyAlignment="1" applyProtection="1">
      <alignment horizontal="left" vertical="center" wrapText="1"/>
    </xf>
    <xf numFmtId="1" fontId="2" fillId="0" borderId="2" xfId="74" applyNumberFormat="1" applyFont="1" applyFill="1" applyBorder="1" applyAlignment="1" applyProtection="1">
      <alignment vertical="center" wrapText="1"/>
      <protection locked="0"/>
    </xf>
    <xf numFmtId="0" fontId="9" fillId="0" borderId="0" xfId="76" applyFill="1" applyAlignment="1" applyProtection="1">
      <alignment vertical="top"/>
    </xf>
    <xf numFmtId="0" fontId="9" fillId="0" borderId="0" xfId="76" applyFill="1" applyAlignment="1">
      <alignment vertical="top"/>
    </xf>
    <xf numFmtId="0" fontId="9" fillId="8" borderId="0" xfId="58" applyFont="1" applyFill="1" applyProtection="1"/>
    <xf numFmtId="0" fontId="55" fillId="8" borderId="1" xfId="58" applyFont="1" applyFill="1" applyBorder="1" applyAlignment="1" applyProtection="1">
      <alignment horizontal="center" wrapText="1"/>
    </xf>
    <xf numFmtId="0" fontId="55" fillId="8" borderId="3" xfId="58" applyFont="1" applyFill="1" applyBorder="1" applyAlignment="1" applyProtection="1">
      <alignment horizontal="center" wrapText="1"/>
    </xf>
    <xf numFmtId="0" fontId="55" fillId="8" borderId="7" xfId="58" applyFont="1" applyFill="1" applyBorder="1" applyAlignment="1" applyProtection="1">
      <alignment horizontal="center" wrapText="1"/>
    </xf>
    <xf numFmtId="0" fontId="9" fillId="0" borderId="0" xfId="58" applyFont="1"/>
    <xf numFmtId="0" fontId="55" fillId="0" borderId="2" xfId="76" applyFont="1" applyFill="1" applyBorder="1" applyAlignment="1" applyProtection="1">
      <alignment horizontal="center" vertical="top" wrapText="1"/>
    </xf>
    <xf numFmtId="0" fontId="9" fillId="0" borderId="2" xfId="76" quotePrefix="1" applyFill="1" applyBorder="1" applyAlignment="1" applyProtection="1">
      <alignment horizontal="center" vertical="top" wrapText="1"/>
    </xf>
    <xf numFmtId="0" fontId="55" fillId="0" borderId="10" xfId="76" applyFont="1" applyFill="1" applyBorder="1" applyAlignment="1" applyProtection="1">
      <alignment horizontal="center" vertical="top" wrapText="1"/>
    </xf>
    <xf numFmtId="0" fontId="55" fillId="0" borderId="10" xfId="76" applyFont="1" applyFill="1" applyBorder="1" applyAlignment="1" applyProtection="1">
      <alignment horizontal="left" vertical="top" wrapText="1"/>
    </xf>
    <xf numFmtId="3" fontId="9" fillId="0" borderId="10" xfId="76" applyNumberFormat="1" applyFill="1" applyBorder="1" applyAlignment="1" applyProtection="1">
      <alignment horizontal="center" vertical="top" wrapText="1"/>
    </xf>
    <xf numFmtId="0" fontId="0" fillId="0" borderId="2" xfId="76" applyFont="1" applyFill="1" applyBorder="1" applyAlignment="1" applyProtection="1">
      <alignment horizontal="center" vertical="top" wrapText="1"/>
      <protection locked="0"/>
    </xf>
    <xf numFmtId="9" fontId="9" fillId="0" borderId="2" xfId="76" applyNumberFormat="1" applyFill="1" applyBorder="1" applyAlignment="1" applyProtection="1">
      <alignment horizontal="center" vertical="top"/>
      <protection locked="0"/>
    </xf>
    <xf numFmtId="0" fontId="9" fillId="0" borderId="2" xfId="76" applyFill="1" applyBorder="1" applyAlignment="1" applyProtection="1">
      <alignment horizontal="center" vertical="top"/>
      <protection locked="0"/>
    </xf>
    <xf numFmtId="9" fontId="9" fillId="0" borderId="2" xfId="76" quotePrefix="1" applyNumberFormat="1" applyFill="1" applyBorder="1" applyAlignment="1" applyProtection="1">
      <alignment horizontal="center" vertical="top" wrapText="1"/>
      <protection locked="0"/>
    </xf>
    <xf numFmtId="0" fontId="9" fillId="0" borderId="2" xfId="76" applyFill="1" applyBorder="1" applyAlignment="1" applyProtection="1">
      <alignment horizontal="center" vertical="top"/>
    </xf>
    <xf numFmtId="0" fontId="9" fillId="0" borderId="2" xfId="76" applyFill="1" applyBorder="1" applyAlignment="1" applyProtection="1">
      <alignment vertical="top"/>
      <protection locked="0"/>
    </xf>
    <xf numFmtId="0" fontId="55" fillId="0" borderId="0" xfId="76"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6" applyFill="1" applyAlignment="1" applyProtection="1">
      <alignment vertical="top"/>
      <protection locked="0"/>
    </xf>
    <xf numFmtId="0" fontId="55" fillId="0" borderId="0" xfId="76" applyFont="1" applyFill="1" applyAlignment="1" applyProtection="1">
      <alignment vertical="top"/>
      <protection locked="0"/>
    </xf>
    <xf numFmtId="0" fontId="58" fillId="0" borderId="0" xfId="76" applyFont="1" applyFill="1" applyAlignment="1">
      <alignment vertical="top"/>
    </xf>
    <xf numFmtId="0" fontId="2" fillId="0" borderId="2" xfId="73" applyFont="1" applyBorder="1" applyAlignment="1" applyProtection="1">
      <alignment horizontal="left" vertical="center"/>
      <protection locked="0"/>
    </xf>
    <xf numFmtId="0" fontId="2" fillId="0" borderId="2" xfId="73" applyFont="1" applyBorder="1" applyAlignment="1">
      <alignment horizontal="left" vertical="center"/>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57" fillId="0" borderId="0" xfId="76" applyFont="1" applyFill="1" applyAlignment="1" applyProtection="1">
      <alignment horizontal="center" vertical="top" wrapText="1"/>
    </xf>
    <xf numFmtId="0" fontId="55" fillId="0" borderId="1" xfId="58" applyFont="1" applyFill="1" applyBorder="1" applyAlignment="1" applyProtection="1">
      <alignment horizontal="left" wrapText="1"/>
      <protection locked="0"/>
    </xf>
    <xf numFmtId="0" fontId="55" fillId="0" borderId="7" xfId="58" applyFont="1" applyFill="1" applyBorder="1" applyAlignment="1" applyProtection="1">
      <alignment horizontal="left" wrapText="1"/>
      <protection locked="0"/>
    </xf>
    <xf numFmtId="0" fontId="55" fillId="0" borderId="10" xfId="76" applyFont="1" applyFill="1" applyBorder="1" applyAlignment="1" applyProtection="1">
      <alignment horizontal="center" vertical="top" wrapText="1"/>
    </xf>
    <xf numFmtId="0" fontId="55" fillId="0" borderId="12" xfId="76" applyFont="1" applyFill="1" applyBorder="1" applyAlignment="1" applyProtection="1">
      <alignment horizontal="center" vertical="top" wrapText="1"/>
    </xf>
    <xf numFmtId="0" fontId="55" fillId="0" borderId="2" xfId="76" applyFont="1" applyFill="1" applyBorder="1" applyAlignment="1" applyProtection="1">
      <alignment horizontal="center" vertical="top"/>
    </xf>
    <xf numFmtId="0" fontId="9" fillId="0" borderId="2" xfId="76" applyFill="1" applyBorder="1" applyAlignment="1" applyProtection="1">
      <alignment horizontal="left" vertical="top" wrapText="1"/>
    </xf>
    <xf numFmtId="0" fontId="9" fillId="0" borderId="2" xfId="76" quotePrefix="1" applyFill="1" applyBorder="1" applyAlignment="1" applyProtection="1">
      <alignment horizontal="left" vertical="top" wrapText="1"/>
    </xf>
    <xf numFmtId="0" fontId="9" fillId="0" borderId="1" xfId="76" applyFill="1" applyBorder="1" applyAlignment="1" applyProtection="1">
      <alignment horizontal="left" vertical="top" wrapText="1"/>
    </xf>
    <xf numFmtId="0" fontId="9" fillId="0" borderId="3" xfId="76" quotePrefix="1" applyFill="1" applyBorder="1" applyAlignment="1" applyProtection="1">
      <alignment horizontal="left" vertical="top" wrapText="1"/>
    </xf>
    <xf numFmtId="0" fontId="9" fillId="0" borderId="7" xfId="76" quotePrefix="1" applyFill="1" applyBorder="1" applyAlignment="1" applyProtection="1">
      <alignment horizontal="left" vertical="top" wrapText="1"/>
    </xf>
    <xf numFmtId="0" fontId="9" fillId="0" borderId="3" xfId="76" applyFill="1" applyBorder="1" applyAlignment="1" applyProtection="1">
      <alignment horizontal="left" vertical="top" wrapText="1"/>
    </xf>
    <xf numFmtId="0" fontId="9" fillId="0" borderId="7" xfId="76" applyFill="1" applyBorder="1" applyAlignment="1" applyProtection="1">
      <alignment horizontal="left" vertical="top" wrapText="1"/>
    </xf>
    <xf numFmtId="0" fontId="55" fillId="8" borderId="2" xfId="58" applyFont="1" applyFill="1" applyBorder="1" applyAlignment="1" applyProtection="1">
      <alignment vertical="center" wrapText="1"/>
    </xf>
    <xf numFmtId="0" fontId="55" fillId="8" borderId="1" xfId="58" applyFont="1" applyFill="1" applyBorder="1" applyAlignment="1" applyProtection="1">
      <alignment vertical="center" wrapText="1"/>
    </xf>
    <xf numFmtId="0" fontId="55" fillId="8" borderId="3" xfId="58" applyFont="1" applyFill="1" applyBorder="1" applyAlignment="1" applyProtection="1">
      <alignment vertical="center" wrapText="1"/>
    </xf>
    <xf numFmtId="0" fontId="55" fillId="8" borderId="7" xfId="58" applyFont="1" applyFill="1" applyBorder="1" applyAlignment="1" applyProtection="1">
      <alignment vertical="center" wrapText="1"/>
    </xf>
    <xf numFmtId="0" fontId="54" fillId="0" borderId="2" xfId="55" applyFont="1" applyFill="1" applyBorder="1" applyAlignment="1" applyProtection="1">
      <alignment horizontal="center" vertical="center" wrapText="1"/>
    </xf>
    <xf numFmtId="0" fontId="48"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39" fillId="0" borderId="2" xfId="55" applyFont="1" applyFill="1" applyBorder="1" applyAlignment="1" applyProtection="1">
      <alignment horizontal="left" vertical="center" wrapText="1"/>
    </xf>
    <xf numFmtId="1" fontId="38" fillId="0" borderId="2" xfId="1" applyNumberFormat="1" applyFont="1" applyFill="1" applyBorder="1" applyAlignment="1" applyProtection="1">
      <alignment horizontal="center" vertical="center" wrapText="1"/>
    </xf>
    <xf numFmtId="0" fontId="38" fillId="0" borderId="2" xfId="55" applyFont="1" applyFill="1" applyBorder="1" applyAlignment="1" applyProtection="1">
      <alignment horizontal="center" vertical="center" wrapText="1"/>
    </xf>
    <xf numFmtId="0" fontId="4" fillId="0" borderId="8" xfId="55" applyFont="1" applyFill="1" applyBorder="1" applyAlignment="1" applyProtection="1">
      <alignment horizontal="center" vertical="center" wrapText="1"/>
    </xf>
    <xf numFmtId="0" fontId="4" fillId="0" borderId="9" xfId="55" applyFont="1" applyFill="1" applyBorder="1" applyAlignment="1" applyProtection="1">
      <alignment horizontal="center" vertical="center" wrapText="1"/>
    </xf>
    <xf numFmtId="0" fontId="4" fillId="0" borderId="11" xfId="55" applyFont="1" applyFill="1" applyBorder="1" applyAlignment="1" applyProtection="1">
      <alignment horizontal="center" vertical="center" wrapText="1"/>
    </xf>
    <xf numFmtId="0" fontId="48" fillId="0" borderId="2" xfId="54" applyFont="1" applyFill="1" applyBorder="1" applyAlignment="1" applyProtection="1">
      <alignment horizontal="center" vertical="center" wrapText="1"/>
    </xf>
    <xf numFmtId="0" fontId="30" fillId="0" borderId="2" xfId="55" applyFont="1" applyFill="1" applyBorder="1" applyAlignment="1" applyProtection="1">
      <alignment horizontal="left" vertical="center" wrapText="1"/>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wrapText="1"/>
    </xf>
    <xf numFmtId="0" fontId="4" fillId="0" borderId="3" xfId="55" applyFont="1" applyFill="1" applyBorder="1" applyAlignment="1" applyProtection="1">
      <alignment horizontal="center" vertical="center" wrapText="1"/>
    </xf>
    <xf numFmtId="0" fontId="4" fillId="0" borderId="7" xfId="55" applyFont="1" applyFill="1" applyBorder="1" applyAlignment="1" applyProtection="1">
      <alignment horizontal="center" vertical="center" wrapText="1"/>
    </xf>
    <xf numFmtId="0" fontId="8" fillId="0" borderId="2" xfId="74" applyFont="1" applyFill="1" applyBorder="1" applyAlignment="1" applyProtection="1">
      <alignment horizontal="left" vertical="center" wrapText="1"/>
    </xf>
    <xf numFmtId="0" fontId="7" fillId="0" borderId="1" xfId="32" applyFont="1" applyFill="1" applyBorder="1" applyAlignment="1" applyProtection="1">
      <alignment horizontal="center" vertical="center" wrapText="1"/>
    </xf>
    <xf numFmtId="0" fontId="7" fillId="0" borderId="3" xfId="32" applyFont="1" applyFill="1" applyBorder="1" applyAlignment="1" applyProtection="1">
      <alignment horizontal="center" vertical="center" wrapText="1"/>
    </xf>
    <xf numFmtId="0" fontId="7" fillId="0" borderId="7" xfId="32" applyFont="1" applyFill="1" applyBorder="1" applyAlignment="1" applyProtection="1">
      <alignment horizontal="center" vertical="center" wrapText="1"/>
    </xf>
    <xf numFmtId="0" fontId="7" fillId="0" borderId="2" xfId="54" applyFont="1" applyFill="1" applyBorder="1" applyAlignment="1" applyProtection="1">
      <alignment horizontal="left" vertical="top" wrapText="1"/>
    </xf>
    <xf numFmtId="0" fontId="2" fillId="0" borderId="2" xfId="32" applyFont="1" applyFill="1" applyBorder="1" applyAlignment="1" applyProtection="1">
      <alignment horizontal="center" vertical="center" wrapText="1"/>
    </xf>
    <xf numFmtId="0" fontId="8" fillId="0" borderId="2" xfId="74" applyFont="1" applyFill="1" applyBorder="1" applyAlignment="1" applyProtection="1">
      <alignment horizontal="center" vertical="center"/>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0" fontId="48" fillId="0" borderId="3" xfId="0" applyFont="1" applyFill="1" applyBorder="1" applyAlignment="1" applyProtection="1">
      <alignment horizontal="center" vertical="center" wrapText="1"/>
    </xf>
    <xf numFmtId="0" fontId="48" fillId="0" borderId="7" xfId="0"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4" fillId="0" borderId="1" xfId="58" applyFont="1" applyFill="1" applyBorder="1" applyAlignment="1" applyProtection="1">
      <alignment horizontal="center" vertical="center" wrapText="1"/>
    </xf>
    <xf numFmtId="0" fontId="4" fillId="0" borderId="3" xfId="58" applyFont="1" applyFill="1" applyBorder="1" applyAlignment="1" applyProtection="1">
      <alignment horizontal="center" vertical="center" wrapText="1"/>
    </xf>
    <xf numFmtId="0" fontId="4" fillId="0" borderId="7" xfId="58" applyFont="1" applyFill="1" applyBorder="1" applyAlignment="1" applyProtection="1">
      <alignment horizontal="center" vertical="center" wrapText="1"/>
    </xf>
    <xf numFmtId="0" fontId="7" fillId="0" borderId="1" xfId="54" applyFont="1" applyFill="1" applyBorder="1" applyAlignment="1" applyProtection="1">
      <alignment horizontal="left" vertical="top" wrapText="1"/>
    </xf>
    <xf numFmtId="0" fontId="7" fillId="0" borderId="3" xfId="54" applyFont="1" applyFill="1" applyBorder="1" applyAlignment="1" applyProtection="1">
      <alignment horizontal="left" vertical="top"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7" xfId="2" applyFont="1" applyFill="1" applyBorder="1" applyAlignment="1" applyProtection="1">
      <alignment horizontal="center" vertical="center" wrapText="1"/>
    </xf>
    <xf numFmtId="0" fontId="48" fillId="0" borderId="1" xfId="54" applyFont="1" applyFill="1" applyBorder="1" applyAlignment="1" applyProtection="1">
      <alignment horizontal="center" vertical="center" wrapText="1"/>
    </xf>
    <xf numFmtId="0" fontId="48" fillId="0" borderId="3" xfId="54" applyFont="1" applyFill="1" applyBorder="1" applyAlignment="1" applyProtection="1">
      <alignment horizontal="center" vertical="center" wrapText="1"/>
    </xf>
  </cellXfs>
  <cellStyles count="77">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3 2" xfId="75"/>
    <cellStyle name="Normal 14" xfId="68"/>
    <cellStyle name="Normal 15" xfId="69"/>
    <cellStyle name="Normal 15 2" xfId="74"/>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6"/>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239486</xdr:colOff>
      <xdr:row>0</xdr:row>
      <xdr:rowOff>84362</xdr:rowOff>
    </xdr:from>
    <xdr:to>
      <xdr:col>3</xdr:col>
      <xdr:colOff>1532165</xdr:colOff>
      <xdr:row>0</xdr:row>
      <xdr:rowOff>615041</xdr:rowOff>
    </xdr:to>
    <xdr:pic>
      <xdr:nvPicPr>
        <xdr:cNvPr id="3" name="Picture 2" descr="D:\personal\sujitda\lyons engineering\logo.jp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cstate="print"/>
        <a:srcRect/>
        <a:stretch>
          <a:fillRect/>
        </a:stretch>
      </xdr:blipFill>
      <xdr:spPr bwMode="auto">
        <a:xfrm>
          <a:off x="7783286" y="84362"/>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15686" y="25854"/>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987878</xdr:colOff>
      <xdr:row>0</xdr:row>
      <xdr:rowOff>0</xdr:rowOff>
    </xdr:from>
    <xdr:ext cx="900794" cy="451758"/>
    <xdr:pic>
      <xdr:nvPicPr>
        <xdr:cNvPr id="4" name="Picture 3" descr="D:\personal\sujitda\lyons engineering\logo.jpg">
          <a:extLst>
            <a:ext uri="{FF2B5EF4-FFF2-40B4-BE49-F238E27FC236}">
              <a16:creationId xmlns:a16="http://schemas.microsoft.com/office/drawing/2014/main" xmlns="" id="{00000000-0008-0000-0200-000004000000}"/>
            </a:ext>
          </a:extLst>
        </xdr:cNvPr>
        <xdr:cNvPicPr/>
      </xdr:nvPicPr>
      <xdr:blipFill>
        <a:blip xmlns:r="http://schemas.openxmlformats.org/officeDocument/2006/relationships" r:embed="rId2" cstate="print"/>
        <a:srcRect/>
        <a:stretch>
          <a:fillRect/>
        </a:stretch>
      </xdr:blipFill>
      <xdr:spPr bwMode="auto">
        <a:xfrm>
          <a:off x="13571764" y="0"/>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1091292</xdr:colOff>
      <xdr:row>0</xdr:row>
      <xdr:rowOff>198665</xdr:rowOff>
    </xdr:from>
    <xdr:ext cx="1442357" cy="571500"/>
    <xdr:pic>
      <xdr:nvPicPr>
        <xdr:cNvPr id="4" name="Picture 3" descr="D:\personal\sujitda\lyons engineering\logo.jpg">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2" cstate="print"/>
        <a:srcRect/>
        <a:stretch>
          <a:fillRect/>
        </a:stretch>
      </xdr:blipFill>
      <xdr:spPr bwMode="auto">
        <a:xfrm>
          <a:off x="13054692" y="198665"/>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846363</xdr:colOff>
      <xdr:row>0</xdr:row>
      <xdr:rowOff>152400</xdr:rowOff>
    </xdr:from>
    <xdr:ext cx="1442358" cy="571500"/>
    <xdr:pic>
      <xdr:nvPicPr>
        <xdr:cNvPr id="3" name="Picture 2" descr="D:\personal\sujitda\lyons engineering\logo.jp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12396106" y="152400"/>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55334" y="171528"/>
          <a:ext cx="996523" cy="849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323850</xdr:colOff>
      <xdr:row>0</xdr:row>
      <xdr:rowOff>503464</xdr:rowOff>
    </xdr:from>
    <xdr:ext cx="1440997" cy="571500"/>
    <xdr:pic>
      <xdr:nvPicPr>
        <xdr:cNvPr id="5" name="Picture 4" descr="D:\personal\sujitda\lyons engineering\logo.jpg">
          <a:extLst>
            <a:ext uri="{FF2B5EF4-FFF2-40B4-BE49-F238E27FC236}">
              <a16:creationId xmlns:a16="http://schemas.microsoft.com/office/drawing/2014/main" xmlns="" id="{00000000-0008-0000-0600-000005000000}"/>
            </a:ext>
          </a:extLst>
        </xdr:cNvPr>
        <xdr:cNvPicPr/>
      </xdr:nvPicPr>
      <xdr:blipFill>
        <a:blip xmlns:r="http://schemas.openxmlformats.org/officeDocument/2006/relationships" r:embed="rId2" cstate="print"/>
        <a:srcRect/>
        <a:stretch>
          <a:fillRect/>
        </a:stretch>
      </xdr:blipFill>
      <xdr:spPr bwMode="auto">
        <a:xfrm>
          <a:off x="11078936" y="503464"/>
          <a:ext cx="1440997" cy="57150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1899557</xdr:colOff>
      <xdr:row>0</xdr:row>
      <xdr:rowOff>149678</xdr:rowOff>
    </xdr:from>
    <xdr:ext cx="1061357" cy="394607"/>
    <xdr:pic>
      <xdr:nvPicPr>
        <xdr:cNvPr id="4" name="Picture 3" descr="D:\personal\sujitda\lyons engineering\logo.jpg">
          <a:extLst>
            <a:ext uri="{FF2B5EF4-FFF2-40B4-BE49-F238E27FC236}">
              <a16:creationId xmlns:a16="http://schemas.microsoft.com/office/drawing/2014/main" xmlns="" id="{00000000-0008-0000-0700-000004000000}"/>
            </a:ext>
          </a:extLst>
        </xdr:cNvPr>
        <xdr:cNvPicPr/>
      </xdr:nvPicPr>
      <xdr:blipFill>
        <a:blip xmlns:r="http://schemas.openxmlformats.org/officeDocument/2006/relationships" r:embed="rId2" cstate="print"/>
        <a:srcRect/>
        <a:stretch>
          <a:fillRect/>
        </a:stretch>
      </xdr:blipFill>
      <xdr:spPr bwMode="auto">
        <a:xfrm>
          <a:off x="13743214" y="149678"/>
          <a:ext cx="1061357" cy="394607"/>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451757" y="126546"/>
          <a:ext cx="89535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283030</xdr:colOff>
      <xdr:row>0</xdr:row>
      <xdr:rowOff>133349</xdr:rowOff>
    </xdr:from>
    <xdr:ext cx="1442357" cy="571500"/>
    <xdr:pic>
      <xdr:nvPicPr>
        <xdr:cNvPr id="4" name="Picture 3" descr="D:\personal\sujitda\lyons engineering\logo.jpg">
          <a:extLst>
            <a:ext uri="{FF2B5EF4-FFF2-40B4-BE49-F238E27FC236}">
              <a16:creationId xmlns:a16="http://schemas.microsoft.com/office/drawing/2014/main" xmlns="" id="{00000000-0008-0000-0800-000004000000}"/>
            </a:ext>
          </a:extLst>
        </xdr:cNvPr>
        <xdr:cNvPicPr/>
      </xdr:nvPicPr>
      <xdr:blipFill>
        <a:blip xmlns:r="http://schemas.openxmlformats.org/officeDocument/2006/relationships" r:embed="rId2" cstate="print"/>
        <a:srcRect/>
        <a:stretch>
          <a:fillRect/>
        </a:stretch>
      </xdr:blipFill>
      <xdr:spPr bwMode="auto">
        <a:xfrm>
          <a:off x="12246430" y="133349"/>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4" sqref="B4:P4"/>
    </sheetView>
  </sheetViews>
  <sheetFormatPr defaultColWidth="9.109375" defaultRowHeight="13.2"/>
  <cols>
    <col min="1" max="1" width="15.6640625" style="13" customWidth="1"/>
    <col min="2" max="16384" width="9.109375" style="13"/>
  </cols>
  <sheetData>
    <row r="1" spans="1:16" ht="23.25" customHeight="1">
      <c r="A1" s="286" t="s">
        <v>512</v>
      </c>
      <c r="B1" s="287"/>
      <c r="C1" s="287"/>
      <c r="D1" s="287"/>
      <c r="E1" s="287"/>
      <c r="F1" s="287"/>
      <c r="G1" s="287"/>
      <c r="H1" s="287"/>
      <c r="I1" s="287"/>
      <c r="J1" s="287"/>
      <c r="K1" s="287"/>
      <c r="L1" s="287"/>
      <c r="M1" s="287"/>
      <c r="N1" s="287"/>
      <c r="O1" s="287"/>
      <c r="P1" s="287"/>
    </row>
    <row r="2" spans="1:16" ht="25.5" customHeight="1">
      <c r="A2" s="288" t="s">
        <v>513</v>
      </c>
      <c r="B2" s="289"/>
      <c r="C2" s="289"/>
      <c r="D2" s="289"/>
      <c r="E2" s="289"/>
      <c r="F2" s="289"/>
      <c r="G2" s="289"/>
      <c r="H2" s="289"/>
      <c r="I2" s="289"/>
      <c r="J2" s="289"/>
      <c r="K2" s="289"/>
      <c r="L2" s="289"/>
      <c r="M2" s="289"/>
      <c r="N2" s="289"/>
      <c r="O2" s="289"/>
      <c r="P2" s="289"/>
    </row>
    <row r="3" spans="1:16" ht="24" customHeight="1">
      <c r="A3" s="286" t="s">
        <v>514</v>
      </c>
      <c r="B3" s="287"/>
      <c r="C3" s="287"/>
      <c r="D3" s="287"/>
      <c r="E3" s="287"/>
      <c r="F3" s="287"/>
      <c r="G3" s="287"/>
      <c r="H3" s="287"/>
      <c r="I3" s="287"/>
      <c r="J3" s="287"/>
      <c r="K3" s="287"/>
      <c r="L3" s="287"/>
      <c r="M3" s="287"/>
      <c r="N3" s="287"/>
      <c r="O3" s="287"/>
      <c r="P3" s="287"/>
    </row>
    <row r="4" spans="1:16" ht="68.25" customHeight="1">
      <c r="A4" s="14">
        <v>1</v>
      </c>
      <c r="B4" s="285" t="s">
        <v>515</v>
      </c>
      <c r="C4" s="284"/>
      <c r="D4" s="284"/>
      <c r="E4" s="284"/>
      <c r="F4" s="284"/>
      <c r="G4" s="284"/>
      <c r="H4" s="284"/>
      <c r="I4" s="284"/>
      <c r="J4" s="284"/>
      <c r="K4" s="284"/>
      <c r="L4" s="284"/>
      <c r="M4" s="284"/>
      <c r="N4" s="284"/>
      <c r="O4" s="284"/>
      <c r="P4" s="284"/>
    </row>
    <row r="5" spans="1:16" ht="30" customHeight="1">
      <c r="A5" s="14">
        <v>2</v>
      </c>
      <c r="B5" s="285" t="s">
        <v>516</v>
      </c>
      <c r="C5" s="285"/>
      <c r="D5" s="285"/>
      <c r="E5" s="285"/>
      <c r="F5" s="285"/>
      <c r="G5" s="285"/>
      <c r="H5" s="285"/>
      <c r="I5" s="285"/>
      <c r="J5" s="285"/>
      <c r="K5" s="285"/>
      <c r="L5" s="285"/>
      <c r="M5" s="285"/>
      <c r="N5" s="285"/>
      <c r="O5" s="285"/>
      <c r="P5" s="285"/>
    </row>
    <row r="6" spans="1:16" ht="30" customHeight="1">
      <c r="A6" s="14">
        <v>3</v>
      </c>
      <c r="B6" s="285" t="s">
        <v>517</v>
      </c>
      <c r="C6" s="285"/>
      <c r="D6" s="285"/>
      <c r="E6" s="285"/>
      <c r="F6" s="285"/>
      <c r="G6" s="285"/>
      <c r="H6" s="285"/>
      <c r="I6" s="285"/>
      <c r="J6" s="285"/>
      <c r="K6" s="285"/>
      <c r="L6" s="285"/>
      <c r="M6" s="285"/>
      <c r="N6" s="285"/>
      <c r="O6" s="285"/>
      <c r="P6" s="285"/>
    </row>
    <row r="7" spans="1:16" ht="43.95" customHeight="1">
      <c r="A7" s="14">
        <v>3</v>
      </c>
      <c r="B7" s="284" t="s">
        <v>518</v>
      </c>
      <c r="C7" s="284"/>
      <c r="D7" s="284"/>
      <c r="E7" s="284"/>
      <c r="F7" s="284"/>
      <c r="G7" s="284"/>
      <c r="H7" s="284"/>
      <c r="I7" s="284"/>
      <c r="J7" s="284"/>
      <c r="K7" s="284"/>
      <c r="L7" s="284"/>
      <c r="M7" s="284"/>
      <c r="N7" s="284"/>
      <c r="O7" s="284"/>
      <c r="P7" s="284"/>
    </row>
    <row r="8" spans="1:16" ht="29.25" customHeight="1">
      <c r="A8" s="14">
        <v>4</v>
      </c>
      <c r="B8" s="285" t="s">
        <v>519</v>
      </c>
      <c r="C8" s="285"/>
      <c r="D8" s="285"/>
      <c r="E8" s="285"/>
      <c r="F8" s="285"/>
      <c r="G8" s="285"/>
      <c r="H8" s="285"/>
      <c r="I8" s="285"/>
      <c r="J8" s="285"/>
      <c r="K8" s="285"/>
      <c r="L8" s="285"/>
      <c r="M8" s="285"/>
      <c r="N8" s="285"/>
      <c r="O8" s="285"/>
      <c r="P8" s="285"/>
    </row>
    <row r="9" spans="1:16" ht="39.75" customHeight="1">
      <c r="A9" s="14">
        <v>5</v>
      </c>
      <c r="B9" s="284" t="s">
        <v>520</v>
      </c>
      <c r="C9" s="284"/>
      <c r="D9" s="284"/>
      <c r="E9" s="284"/>
      <c r="F9" s="284"/>
      <c r="G9" s="284"/>
      <c r="H9" s="284"/>
      <c r="I9" s="284"/>
      <c r="J9" s="284"/>
      <c r="K9" s="284"/>
      <c r="L9" s="284"/>
      <c r="M9" s="284"/>
      <c r="N9" s="284"/>
      <c r="O9" s="284"/>
      <c r="P9" s="284"/>
    </row>
    <row r="10" spans="1:16" ht="34.5" customHeight="1">
      <c r="A10" s="14">
        <v>6</v>
      </c>
      <c r="B10" s="284" t="s">
        <v>521</v>
      </c>
      <c r="C10" s="284"/>
      <c r="D10" s="284"/>
      <c r="E10" s="284"/>
      <c r="F10" s="284"/>
      <c r="G10" s="284"/>
      <c r="H10" s="284"/>
      <c r="I10" s="284"/>
      <c r="J10" s="284"/>
      <c r="K10" s="284"/>
      <c r="L10" s="284"/>
      <c r="M10" s="284"/>
      <c r="N10" s="284"/>
      <c r="O10" s="284"/>
      <c r="P10" s="284"/>
    </row>
    <row r="11" spans="1:16" ht="14.25" customHeight="1">
      <c r="A11" s="14"/>
      <c r="B11" s="283" t="s">
        <v>522</v>
      </c>
      <c r="C11" s="283"/>
      <c r="D11" s="283"/>
      <c r="E11" s="283"/>
      <c r="F11" s="283"/>
      <c r="G11" s="283"/>
      <c r="H11" s="283"/>
      <c r="I11" s="283"/>
      <c r="J11" s="283"/>
      <c r="K11" s="283"/>
      <c r="L11" s="283"/>
      <c r="M11" s="283"/>
      <c r="N11" s="283"/>
      <c r="O11" s="283"/>
      <c r="P11" s="283"/>
    </row>
    <row r="12" spans="1:16" ht="21.75" customHeight="1">
      <c r="A12" s="14"/>
      <c r="B12" s="283" t="s">
        <v>523</v>
      </c>
      <c r="C12" s="283"/>
      <c r="D12" s="283"/>
      <c r="E12" s="283"/>
      <c r="F12" s="283"/>
      <c r="G12" s="283"/>
      <c r="H12" s="283"/>
      <c r="I12" s="283"/>
      <c r="J12" s="283"/>
      <c r="K12" s="283"/>
      <c r="L12" s="283"/>
      <c r="M12" s="283"/>
      <c r="N12" s="283"/>
      <c r="O12" s="283"/>
      <c r="P12" s="283"/>
    </row>
    <row r="13" spans="1:16" ht="20.25" customHeight="1">
      <c r="A13" s="14"/>
      <c r="B13" s="283" t="s">
        <v>524</v>
      </c>
      <c r="C13" s="283"/>
      <c r="D13" s="283"/>
      <c r="E13" s="283"/>
      <c r="F13" s="283"/>
      <c r="G13" s="283"/>
      <c r="H13" s="283"/>
      <c r="I13" s="283"/>
      <c r="J13" s="283"/>
      <c r="K13" s="283"/>
      <c r="L13" s="283"/>
      <c r="M13" s="283"/>
      <c r="N13" s="283"/>
      <c r="O13" s="283"/>
      <c r="P13" s="283"/>
    </row>
    <row r="14" spans="1:16" ht="17.25" customHeight="1">
      <c r="A14" s="15" t="s">
        <v>525</v>
      </c>
      <c r="B14" s="284" t="s">
        <v>526</v>
      </c>
      <c r="C14" s="284"/>
      <c r="D14" s="284"/>
      <c r="E14" s="284"/>
      <c r="F14" s="284"/>
      <c r="G14" s="284"/>
      <c r="H14" s="284"/>
      <c r="I14" s="284"/>
      <c r="J14" s="284"/>
      <c r="K14" s="284"/>
      <c r="L14" s="284"/>
      <c r="M14" s="284"/>
      <c r="N14" s="284"/>
      <c r="O14" s="284"/>
      <c r="P14" s="284"/>
    </row>
  </sheetData>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I28"/>
  <sheetViews>
    <sheetView tabSelected="1" workbookViewId="0">
      <selection activeCell="C7" sqref="C7:G7"/>
    </sheetView>
  </sheetViews>
  <sheetFormatPr defaultColWidth="19" defaultRowHeight="79.8" customHeight="1"/>
  <cols>
    <col min="1" max="3" width="19" style="261"/>
    <col min="4" max="4" width="24.6640625" style="261" customWidth="1"/>
    <col min="5" max="5" width="24.109375" style="261" customWidth="1"/>
    <col min="6" max="16384" width="19" style="261"/>
  </cols>
  <sheetData>
    <row r="1" spans="1:7" ht="90" customHeight="1">
      <c r="A1" s="260"/>
      <c r="B1" s="290" t="s">
        <v>616</v>
      </c>
      <c r="C1" s="290"/>
      <c r="D1" s="290"/>
      <c r="E1" s="290"/>
      <c r="F1" s="290"/>
      <c r="G1" s="290"/>
    </row>
    <row r="2" spans="1:7" s="266" customFormat="1" ht="14.4">
      <c r="A2" s="262"/>
      <c r="B2" s="263"/>
      <c r="C2" s="264"/>
      <c r="D2" s="264"/>
      <c r="E2" s="265" t="s">
        <v>595</v>
      </c>
      <c r="F2" s="291" t="s">
        <v>596</v>
      </c>
      <c r="G2" s="292"/>
    </row>
    <row r="3" spans="1:7" ht="14.4">
      <c r="A3" s="260"/>
      <c r="B3" s="293" t="s">
        <v>597</v>
      </c>
      <c r="C3" s="293" t="s">
        <v>598</v>
      </c>
      <c r="D3" s="293" t="s">
        <v>599</v>
      </c>
      <c r="E3" s="295" t="s">
        <v>600</v>
      </c>
      <c r="F3" s="295"/>
      <c r="G3" s="295"/>
    </row>
    <row r="4" spans="1:7" ht="57.6">
      <c r="A4" s="260"/>
      <c r="B4" s="294"/>
      <c r="C4" s="294"/>
      <c r="D4" s="294"/>
      <c r="E4" s="267" t="s">
        <v>601</v>
      </c>
      <c r="F4" s="267" t="s">
        <v>602</v>
      </c>
      <c r="G4" s="267" t="s">
        <v>603</v>
      </c>
    </row>
    <row r="5" spans="1:7" ht="14.4">
      <c r="A5" s="260"/>
      <c r="B5" s="268" t="s">
        <v>4</v>
      </c>
      <c r="C5" s="268" t="s">
        <v>5</v>
      </c>
      <c r="D5" s="268" t="s">
        <v>6</v>
      </c>
      <c r="E5" s="268" t="s">
        <v>604</v>
      </c>
      <c r="F5" s="268" t="s">
        <v>605</v>
      </c>
      <c r="G5" s="268" t="s">
        <v>606</v>
      </c>
    </row>
    <row r="6" spans="1:7" ht="43.2">
      <c r="A6" s="260"/>
      <c r="B6" s="269" t="s">
        <v>20</v>
      </c>
      <c r="C6" s="270" t="s">
        <v>607</v>
      </c>
      <c r="D6" s="271">
        <f>TOTAL!D12</f>
        <v>7495385.8290499998</v>
      </c>
      <c r="E6" s="272"/>
      <c r="F6" s="273"/>
      <c r="G6" s="274"/>
    </row>
    <row r="7" spans="1:7" ht="14.4">
      <c r="A7" s="260"/>
      <c r="B7" s="268">
        <v>2</v>
      </c>
      <c r="C7" s="296" t="s">
        <v>608</v>
      </c>
      <c r="D7" s="297"/>
      <c r="E7" s="297"/>
      <c r="F7" s="297"/>
      <c r="G7" s="297"/>
    </row>
    <row r="8" spans="1:7" ht="14.4">
      <c r="A8" s="260"/>
      <c r="B8" s="268">
        <v>3</v>
      </c>
      <c r="C8" s="298" t="s">
        <v>609</v>
      </c>
      <c r="D8" s="299"/>
      <c r="E8" s="299"/>
      <c r="F8" s="300"/>
      <c r="G8" s="275"/>
    </row>
    <row r="9" spans="1:7" ht="14.4">
      <c r="A9" s="260"/>
      <c r="B9" s="276">
        <v>4</v>
      </c>
      <c r="C9" s="298" t="s">
        <v>610</v>
      </c>
      <c r="D9" s="301"/>
      <c r="E9" s="301"/>
      <c r="F9" s="302"/>
      <c r="G9" s="277"/>
    </row>
    <row r="10" spans="1:7" ht="14.4">
      <c r="A10" s="260"/>
      <c r="B10" s="260"/>
      <c r="C10" s="260"/>
      <c r="D10" s="260"/>
      <c r="E10" s="260"/>
      <c r="F10" s="260"/>
      <c r="G10" s="260"/>
    </row>
    <row r="11" spans="1:7" ht="14.4">
      <c r="A11" s="260"/>
      <c r="B11" s="278" t="s">
        <v>611</v>
      </c>
      <c r="C11" s="260"/>
      <c r="D11" s="260"/>
      <c r="E11" s="260"/>
      <c r="F11" s="260"/>
      <c r="G11" s="260"/>
    </row>
    <row r="12" spans="1:7" s="266" customFormat="1" ht="14.4">
      <c r="A12" s="262"/>
      <c r="B12" s="279">
        <v>1</v>
      </c>
      <c r="C12" s="303" t="s">
        <v>612</v>
      </c>
      <c r="D12" s="303"/>
      <c r="E12" s="303"/>
      <c r="F12" s="303"/>
      <c r="G12" s="303"/>
    </row>
    <row r="13" spans="1:7" s="266" customFormat="1" ht="14.4">
      <c r="A13" s="262"/>
      <c r="B13" s="279">
        <v>2</v>
      </c>
      <c r="C13" s="304" t="s">
        <v>613</v>
      </c>
      <c r="D13" s="305"/>
      <c r="E13" s="305"/>
      <c r="F13" s="305"/>
      <c r="G13" s="306"/>
    </row>
    <row r="14" spans="1:7" ht="14.4">
      <c r="A14" s="280"/>
      <c r="B14" s="280"/>
      <c r="C14" s="280"/>
      <c r="D14" s="280"/>
      <c r="E14" s="280"/>
      <c r="F14" s="280"/>
      <c r="G14" s="280"/>
    </row>
    <row r="15" spans="1:7" ht="14.4">
      <c r="A15" s="280"/>
      <c r="B15" s="280"/>
      <c r="C15" s="280"/>
      <c r="D15" s="280"/>
      <c r="E15" s="281" t="s">
        <v>614</v>
      </c>
      <c r="F15" s="280"/>
      <c r="G15" s="280"/>
    </row>
    <row r="16" spans="1:7" ht="14.4">
      <c r="A16" s="280"/>
      <c r="B16" s="280"/>
      <c r="C16" s="280"/>
      <c r="D16" s="280"/>
      <c r="E16" s="281"/>
      <c r="F16" s="280"/>
      <c r="G16" s="280"/>
    </row>
    <row r="17" spans="1:9" ht="79.8" customHeight="1">
      <c r="A17" s="280"/>
      <c r="B17" s="280"/>
      <c r="C17" s="280"/>
      <c r="D17" s="280"/>
      <c r="E17" s="281" t="s">
        <v>615</v>
      </c>
      <c r="F17" s="280"/>
      <c r="G17" s="280"/>
    </row>
    <row r="22" spans="1:9" ht="79.8" customHeight="1">
      <c r="B22" s="282"/>
      <c r="C22" s="282"/>
      <c r="D22" s="282"/>
      <c r="E22" s="282"/>
      <c r="F22" s="282"/>
      <c r="G22" s="282"/>
      <c r="H22" s="282"/>
      <c r="I22" s="282"/>
    </row>
    <row r="23" spans="1:9" ht="79.8" customHeight="1">
      <c r="B23" s="282"/>
      <c r="C23" s="282"/>
      <c r="D23" s="282"/>
      <c r="E23" s="282"/>
      <c r="F23" s="282"/>
    </row>
    <row r="24" spans="1:9" ht="79.8" customHeight="1">
      <c r="B24" s="282"/>
      <c r="C24" s="282"/>
      <c r="D24" s="282"/>
      <c r="E24" s="282"/>
      <c r="F24" s="282"/>
    </row>
    <row r="25" spans="1:9" ht="79.8" customHeight="1">
      <c r="B25" s="282"/>
      <c r="C25" s="282"/>
      <c r="D25" s="282"/>
      <c r="E25" s="282"/>
      <c r="F25" s="282"/>
    </row>
    <row r="26" spans="1:9" ht="79.8" customHeight="1">
      <c r="B26" s="282"/>
      <c r="C26" s="282"/>
      <c r="D26" s="282"/>
      <c r="E26" s="282"/>
      <c r="F26" s="282"/>
    </row>
    <row r="27" spans="1:9" ht="79.8" customHeight="1">
      <c r="B27" s="282"/>
      <c r="C27" s="282"/>
      <c r="D27" s="282"/>
      <c r="E27" s="282"/>
      <c r="F27" s="282"/>
    </row>
    <row r="28" spans="1:9" ht="79.8" customHeight="1">
      <c r="B28" s="282"/>
      <c r="C28" s="282"/>
      <c r="D28" s="282"/>
      <c r="E28" s="282"/>
      <c r="F28" s="282"/>
    </row>
  </sheetData>
  <sheetProtection password="CEE5" sheet="1" objects="1" scenarios="1" formatCells="0" formatColumns="0" formatRows="0"/>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2"/>
  <sheetViews>
    <sheetView view="pageBreakPreview" zoomScale="70" zoomScaleSheetLayoutView="70" workbookViewId="0">
      <selection activeCell="C23" sqref="C23"/>
    </sheetView>
  </sheetViews>
  <sheetFormatPr defaultRowHeight="13.8"/>
  <cols>
    <col min="1" max="1" width="20.88671875" style="4" customWidth="1"/>
    <col min="2" max="2" width="11" style="4" customWidth="1"/>
    <col min="3" max="3" width="78.109375" style="4" customWidth="1"/>
    <col min="4" max="4" width="30" style="12" customWidth="1"/>
    <col min="5" max="250" width="9.109375" style="4"/>
    <col min="251" max="251" width="17.5546875" style="4" customWidth="1"/>
    <col min="252" max="252" width="9.109375" style="4"/>
    <col min="253" max="253" width="42.5546875" style="4" customWidth="1"/>
    <col min="254" max="254" width="23.109375" style="4" customWidth="1"/>
    <col min="255" max="255" width="26" style="4" customWidth="1"/>
    <col min="256" max="256" width="31.5546875" style="4" customWidth="1"/>
    <col min="257" max="257" width="21" style="4" customWidth="1"/>
    <col min="258" max="506" width="9.109375" style="4"/>
    <col min="507" max="507" width="17.5546875" style="4" customWidth="1"/>
    <col min="508" max="508" width="9.109375" style="4"/>
    <col min="509" max="509" width="42.5546875" style="4" customWidth="1"/>
    <col min="510" max="510" width="23.109375" style="4" customWidth="1"/>
    <col min="511" max="511" width="26" style="4" customWidth="1"/>
    <col min="512" max="512" width="31.5546875" style="4" customWidth="1"/>
    <col min="513" max="513" width="21" style="4" customWidth="1"/>
    <col min="514" max="762" width="9.109375" style="4"/>
    <col min="763" max="763" width="17.5546875" style="4" customWidth="1"/>
    <col min="764" max="764" width="9.109375" style="4"/>
    <col min="765" max="765" width="42.5546875" style="4" customWidth="1"/>
    <col min="766" max="766" width="23.109375" style="4" customWidth="1"/>
    <col min="767" max="767" width="26" style="4" customWidth="1"/>
    <col min="768" max="768" width="31.5546875" style="4" customWidth="1"/>
    <col min="769" max="769" width="21" style="4" customWidth="1"/>
    <col min="770" max="1018" width="9.109375" style="4"/>
    <col min="1019" max="1019" width="17.5546875" style="4" customWidth="1"/>
    <col min="1020" max="1020" width="9.109375" style="4"/>
    <col min="1021" max="1021" width="42.5546875" style="4" customWidth="1"/>
    <col min="1022" max="1022" width="23.109375" style="4" customWidth="1"/>
    <col min="1023" max="1023" width="26" style="4" customWidth="1"/>
    <col min="1024" max="1024" width="31.5546875" style="4" customWidth="1"/>
    <col min="1025" max="1025" width="21" style="4" customWidth="1"/>
    <col min="1026" max="1274" width="9.109375" style="4"/>
    <col min="1275" max="1275" width="17.5546875" style="4" customWidth="1"/>
    <col min="1276" max="1276" width="9.109375" style="4"/>
    <col min="1277" max="1277" width="42.5546875" style="4" customWidth="1"/>
    <col min="1278" max="1278" width="23.109375" style="4" customWidth="1"/>
    <col min="1279" max="1279" width="26" style="4" customWidth="1"/>
    <col min="1280" max="1280" width="31.5546875" style="4" customWidth="1"/>
    <col min="1281" max="1281" width="21" style="4" customWidth="1"/>
    <col min="1282" max="1530" width="9.109375" style="4"/>
    <col min="1531" max="1531" width="17.5546875" style="4" customWidth="1"/>
    <col min="1532" max="1532" width="9.109375" style="4"/>
    <col min="1533" max="1533" width="42.5546875" style="4" customWidth="1"/>
    <col min="1534" max="1534" width="23.109375" style="4" customWidth="1"/>
    <col min="1535" max="1535" width="26" style="4" customWidth="1"/>
    <col min="1536" max="1536" width="31.5546875" style="4" customWidth="1"/>
    <col min="1537" max="1537" width="21" style="4" customWidth="1"/>
    <col min="1538" max="1786" width="9.109375" style="4"/>
    <col min="1787" max="1787" width="17.5546875" style="4" customWidth="1"/>
    <col min="1788" max="1788" width="9.109375" style="4"/>
    <col min="1789" max="1789" width="42.5546875" style="4" customWidth="1"/>
    <col min="1790" max="1790" width="23.109375" style="4" customWidth="1"/>
    <col min="1791" max="1791" width="26" style="4" customWidth="1"/>
    <col min="1792" max="1792" width="31.5546875" style="4" customWidth="1"/>
    <col min="1793" max="1793" width="21" style="4" customWidth="1"/>
    <col min="1794" max="2042" width="9.109375" style="4"/>
    <col min="2043" max="2043" width="17.5546875" style="4" customWidth="1"/>
    <col min="2044" max="2044" width="9.109375" style="4"/>
    <col min="2045" max="2045" width="42.5546875" style="4" customWidth="1"/>
    <col min="2046" max="2046" width="23.109375" style="4" customWidth="1"/>
    <col min="2047" max="2047" width="26" style="4" customWidth="1"/>
    <col min="2048" max="2048" width="31.5546875" style="4" customWidth="1"/>
    <col min="2049" max="2049" width="21" style="4" customWidth="1"/>
    <col min="2050" max="2298" width="9.109375" style="4"/>
    <col min="2299" max="2299" width="17.5546875" style="4" customWidth="1"/>
    <col min="2300" max="2300" width="9.109375" style="4"/>
    <col min="2301" max="2301" width="42.5546875" style="4" customWidth="1"/>
    <col min="2302" max="2302" width="23.109375" style="4" customWidth="1"/>
    <col min="2303" max="2303" width="26" style="4" customWidth="1"/>
    <col min="2304" max="2304" width="31.5546875" style="4" customWidth="1"/>
    <col min="2305" max="2305" width="21" style="4" customWidth="1"/>
    <col min="2306" max="2554" width="9.109375" style="4"/>
    <col min="2555" max="2555" width="17.5546875" style="4" customWidth="1"/>
    <col min="2556" max="2556" width="9.109375" style="4"/>
    <col min="2557" max="2557" width="42.5546875" style="4" customWidth="1"/>
    <col min="2558" max="2558" width="23.109375" style="4" customWidth="1"/>
    <col min="2559" max="2559" width="26" style="4" customWidth="1"/>
    <col min="2560" max="2560" width="31.5546875" style="4" customWidth="1"/>
    <col min="2561" max="2561" width="21" style="4" customWidth="1"/>
    <col min="2562" max="2810" width="9.109375" style="4"/>
    <col min="2811" max="2811" width="17.5546875" style="4" customWidth="1"/>
    <col min="2812" max="2812" width="9.109375" style="4"/>
    <col min="2813" max="2813" width="42.5546875" style="4" customWidth="1"/>
    <col min="2814" max="2814" width="23.109375" style="4" customWidth="1"/>
    <col min="2815" max="2815" width="26" style="4" customWidth="1"/>
    <col min="2816" max="2816" width="31.5546875" style="4" customWidth="1"/>
    <col min="2817" max="2817" width="21" style="4" customWidth="1"/>
    <col min="2818" max="3066" width="9.109375" style="4"/>
    <col min="3067" max="3067" width="17.5546875" style="4" customWidth="1"/>
    <col min="3068" max="3068" width="9.109375" style="4"/>
    <col min="3069" max="3069" width="42.5546875" style="4" customWidth="1"/>
    <col min="3070" max="3070" width="23.109375" style="4" customWidth="1"/>
    <col min="3071" max="3071" width="26" style="4" customWidth="1"/>
    <col min="3072" max="3072" width="31.5546875" style="4" customWidth="1"/>
    <col min="3073" max="3073" width="21" style="4" customWidth="1"/>
    <col min="3074" max="3322" width="9.109375" style="4"/>
    <col min="3323" max="3323" width="17.5546875" style="4" customWidth="1"/>
    <col min="3324" max="3324" width="9.109375" style="4"/>
    <col min="3325" max="3325" width="42.5546875" style="4" customWidth="1"/>
    <col min="3326" max="3326" width="23.109375" style="4" customWidth="1"/>
    <col min="3327" max="3327" width="26" style="4" customWidth="1"/>
    <col min="3328" max="3328" width="31.5546875" style="4" customWidth="1"/>
    <col min="3329" max="3329" width="21" style="4" customWidth="1"/>
    <col min="3330" max="3578" width="9.109375" style="4"/>
    <col min="3579" max="3579" width="17.5546875" style="4" customWidth="1"/>
    <col min="3580" max="3580" width="9.109375" style="4"/>
    <col min="3581" max="3581" width="42.5546875" style="4" customWidth="1"/>
    <col min="3582" max="3582" width="23.109375" style="4" customWidth="1"/>
    <col min="3583" max="3583" width="26" style="4" customWidth="1"/>
    <col min="3584" max="3584" width="31.5546875" style="4" customWidth="1"/>
    <col min="3585" max="3585" width="21" style="4" customWidth="1"/>
    <col min="3586" max="3834" width="9.109375" style="4"/>
    <col min="3835" max="3835" width="17.5546875" style="4" customWidth="1"/>
    <col min="3836" max="3836" width="9.109375" style="4"/>
    <col min="3837" max="3837" width="42.5546875" style="4" customWidth="1"/>
    <col min="3838" max="3838" width="23.109375" style="4" customWidth="1"/>
    <col min="3839" max="3839" width="26" style="4" customWidth="1"/>
    <col min="3840" max="3840" width="31.5546875" style="4" customWidth="1"/>
    <col min="3841" max="3841" width="21" style="4" customWidth="1"/>
    <col min="3842" max="4090" width="9.109375" style="4"/>
    <col min="4091" max="4091" width="17.5546875" style="4" customWidth="1"/>
    <col min="4092" max="4092" width="9.109375" style="4"/>
    <col min="4093" max="4093" width="42.5546875" style="4" customWidth="1"/>
    <col min="4094" max="4094" width="23.109375" style="4" customWidth="1"/>
    <col min="4095" max="4095" width="26" style="4" customWidth="1"/>
    <col min="4096" max="4096" width="31.5546875" style="4" customWidth="1"/>
    <col min="4097" max="4097" width="21" style="4" customWidth="1"/>
    <col min="4098" max="4346" width="9.109375" style="4"/>
    <col min="4347" max="4347" width="17.5546875" style="4" customWidth="1"/>
    <col min="4348" max="4348" width="9.109375" style="4"/>
    <col min="4349" max="4349" width="42.5546875" style="4" customWidth="1"/>
    <col min="4350" max="4350" width="23.109375" style="4" customWidth="1"/>
    <col min="4351" max="4351" width="26" style="4" customWidth="1"/>
    <col min="4352" max="4352" width="31.5546875" style="4" customWidth="1"/>
    <col min="4353" max="4353" width="21" style="4" customWidth="1"/>
    <col min="4354" max="4602" width="9.109375" style="4"/>
    <col min="4603" max="4603" width="17.5546875" style="4" customWidth="1"/>
    <col min="4604" max="4604" width="9.109375" style="4"/>
    <col min="4605" max="4605" width="42.5546875" style="4" customWidth="1"/>
    <col min="4606" max="4606" width="23.109375" style="4" customWidth="1"/>
    <col min="4607" max="4607" width="26" style="4" customWidth="1"/>
    <col min="4608" max="4608" width="31.5546875" style="4" customWidth="1"/>
    <col min="4609" max="4609" width="21" style="4" customWidth="1"/>
    <col min="4610" max="4858" width="9.109375" style="4"/>
    <col min="4859" max="4859" width="17.5546875" style="4" customWidth="1"/>
    <col min="4860" max="4860" width="9.109375" style="4"/>
    <col min="4861" max="4861" width="42.5546875" style="4" customWidth="1"/>
    <col min="4862" max="4862" width="23.109375" style="4" customWidth="1"/>
    <col min="4863" max="4863" width="26" style="4" customWidth="1"/>
    <col min="4864" max="4864" width="31.5546875" style="4" customWidth="1"/>
    <col min="4865" max="4865" width="21" style="4" customWidth="1"/>
    <col min="4866" max="5114" width="9.109375" style="4"/>
    <col min="5115" max="5115" width="17.5546875" style="4" customWidth="1"/>
    <col min="5116" max="5116" width="9.109375" style="4"/>
    <col min="5117" max="5117" width="42.5546875" style="4" customWidth="1"/>
    <col min="5118" max="5118" width="23.109375" style="4" customWidth="1"/>
    <col min="5119" max="5119" width="26" style="4" customWidth="1"/>
    <col min="5120" max="5120" width="31.5546875" style="4" customWidth="1"/>
    <col min="5121" max="5121" width="21" style="4" customWidth="1"/>
    <col min="5122" max="5370" width="9.109375" style="4"/>
    <col min="5371" max="5371" width="17.5546875" style="4" customWidth="1"/>
    <col min="5372" max="5372" width="9.109375" style="4"/>
    <col min="5373" max="5373" width="42.5546875" style="4" customWidth="1"/>
    <col min="5374" max="5374" width="23.109375" style="4" customWidth="1"/>
    <col min="5375" max="5375" width="26" style="4" customWidth="1"/>
    <col min="5376" max="5376" width="31.5546875" style="4" customWidth="1"/>
    <col min="5377" max="5377" width="21" style="4" customWidth="1"/>
    <col min="5378" max="5626" width="9.109375" style="4"/>
    <col min="5627" max="5627" width="17.5546875" style="4" customWidth="1"/>
    <col min="5628" max="5628" width="9.109375" style="4"/>
    <col min="5629" max="5629" width="42.5546875" style="4" customWidth="1"/>
    <col min="5630" max="5630" width="23.109375" style="4" customWidth="1"/>
    <col min="5631" max="5631" width="26" style="4" customWidth="1"/>
    <col min="5632" max="5632" width="31.5546875" style="4" customWidth="1"/>
    <col min="5633" max="5633" width="21" style="4" customWidth="1"/>
    <col min="5634" max="5882" width="9.109375" style="4"/>
    <col min="5883" max="5883" width="17.5546875" style="4" customWidth="1"/>
    <col min="5884" max="5884" width="9.109375" style="4"/>
    <col min="5885" max="5885" width="42.5546875" style="4" customWidth="1"/>
    <col min="5886" max="5886" width="23.109375" style="4" customWidth="1"/>
    <col min="5887" max="5887" width="26" style="4" customWidth="1"/>
    <col min="5888" max="5888" width="31.5546875" style="4" customWidth="1"/>
    <col min="5889" max="5889" width="21" style="4" customWidth="1"/>
    <col min="5890" max="6138" width="9.109375" style="4"/>
    <col min="6139" max="6139" width="17.5546875" style="4" customWidth="1"/>
    <col min="6140" max="6140" width="9.109375" style="4"/>
    <col min="6141" max="6141" width="42.5546875" style="4" customWidth="1"/>
    <col min="6142" max="6142" width="23.109375" style="4" customWidth="1"/>
    <col min="6143" max="6143" width="26" style="4" customWidth="1"/>
    <col min="6144" max="6144" width="31.5546875" style="4" customWidth="1"/>
    <col min="6145" max="6145" width="21" style="4" customWidth="1"/>
    <col min="6146" max="6394" width="9.109375" style="4"/>
    <col min="6395" max="6395" width="17.5546875" style="4" customWidth="1"/>
    <col min="6396" max="6396" width="9.109375" style="4"/>
    <col min="6397" max="6397" width="42.5546875" style="4" customWidth="1"/>
    <col min="6398" max="6398" width="23.109375" style="4" customWidth="1"/>
    <col min="6399" max="6399" width="26" style="4" customWidth="1"/>
    <col min="6400" max="6400" width="31.5546875" style="4" customWidth="1"/>
    <col min="6401" max="6401" width="21" style="4" customWidth="1"/>
    <col min="6402" max="6650" width="9.109375" style="4"/>
    <col min="6651" max="6651" width="17.5546875" style="4" customWidth="1"/>
    <col min="6652" max="6652" width="9.109375" style="4"/>
    <col min="6653" max="6653" width="42.5546875" style="4" customWidth="1"/>
    <col min="6654" max="6654" width="23.109375" style="4" customWidth="1"/>
    <col min="6655" max="6655" width="26" style="4" customWidth="1"/>
    <col min="6656" max="6656" width="31.5546875" style="4" customWidth="1"/>
    <col min="6657" max="6657" width="21" style="4" customWidth="1"/>
    <col min="6658" max="6906" width="9.109375" style="4"/>
    <col min="6907" max="6907" width="17.5546875" style="4" customWidth="1"/>
    <col min="6908" max="6908" width="9.109375" style="4"/>
    <col min="6909" max="6909" width="42.5546875" style="4" customWidth="1"/>
    <col min="6910" max="6910" width="23.109375" style="4" customWidth="1"/>
    <col min="6911" max="6911" width="26" style="4" customWidth="1"/>
    <col min="6912" max="6912" width="31.5546875" style="4" customWidth="1"/>
    <col min="6913" max="6913" width="21" style="4" customWidth="1"/>
    <col min="6914" max="7162" width="9.109375" style="4"/>
    <col min="7163" max="7163" width="17.5546875" style="4" customWidth="1"/>
    <col min="7164" max="7164" width="9.109375" style="4"/>
    <col min="7165" max="7165" width="42.5546875" style="4" customWidth="1"/>
    <col min="7166" max="7166" width="23.109375" style="4" customWidth="1"/>
    <col min="7167" max="7167" width="26" style="4" customWidth="1"/>
    <col min="7168" max="7168" width="31.5546875" style="4" customWidth="1"/>
    <col min="7169" max="7169" width="21" style="4" customWidth="1"/>
    <col min="7170" max="7418" width="9.109375" style="4"/>
    <col min="7419" max="7419" width="17.5546875" style="4" customWidth="1"/>
    <col min="7420" max="7420" width="9.109375" style="4"/>
    <col min="7421" max="7421" width="42.5546875" style="4" customWidth="1"/>
    <col min="7422" max="7422" width="23.109375" style="4" customWidth="1"/>
    <col min="7423" max="7423" width="26" style="4" customWidth="1"/>
    <col min="7424" max="7424" width="31.5546875" style="4" customWidth="1"/>
    <col min="7425" max="7425" width="21" style="4" customWidth="1"/>
    <col min="7426" max="7674" width="9.109375" style="4"/>
    <col min="7675" max="7675" width="17.5546875" style="4" customWidth="1"/>
    <col min="7676" max="7676" width="9.109375" style="4"/>
    <col min="7677" max="7677" width="42.5546875" style="4" customWidth="1"/>
    <col min="7678" max="7678" width="23.109375" style="4" customWidth="1"/>
    <col min="7679" max="7679" width="26" style="4" customWidth="1"/>
    <col min="7680" max="7680" width="31.5546875" style="4" customWidth="1"/>
    <col min="7681" max="7681" width="21" style="4" customWidth="1"/>
    <col min="7682" max="7930" width="9.109375" style="4"/>
    <col min="7931" max="7931" width="17.5546875" style="4" customWidth="1"/>
    <col min="7932" max="7932" width="9.109375" style="4"/>
    <col min="7933" max="7933" width="42.5546875" style="4" customWidth="1"/>
    <col min="7934" max="7934" width="23.109375" style="4" customWidth="1"/>
    <col min="7935" max="7935" width="26" style="4" customWidth="1"/>
    <col min="7936" max="7936" width="31.5546875" style="4" customWidth="1"/>
    <col min="7937" max="7937" width="21" style="4" customWidth="1"/>
    <col min="7938" max="8186" width="9.109375" style="4"/>
    <col min="8187" max="8187" width="17.5546875" style="4" customWidth="1"/>
    <col min="8188" max="8188" width="9.109375" style="4"/>
    <col min="8189" max="8189" width="42.5546875" style="4" customWidth="1"/>
    <col min="8190" max="8190" width="23.109375" style="4" customWidth="1"/>
    <col min="8191" max="8191" width="26" style="4" customWidth="1"/>
    <col min="8192" max="8192" width="31.5546875" style="4" customWidth="1"/>
    <col min="8193" max="8193" width="21" style="4" customWidth="1"/>
    <col min="8194" max="8442" width="9.109375" style="4"/>
    <col min="8443" max="8443" width="17.5546875" style="4" customWidth="1"/>
    <col min="8444" max="8444" width="9.109375" style="4"/>
    <col min="8445" max="8445" width="42.5546875" style="4" customWidth="1"/>
    <col min="8446" max="8446" width="23.109375" style="4" customWidth="1"/>
    <col min="8447" max="8447" width="26" style="4" customWidth="1"/>
    <col min="8448" max="8448" width="31.5546875" style="4" customWidth="1"/>
    <col min="8449" max="8449" width="21" style="4" customWidth="1"/>
    <col min="8450" max="8698" width="9.109375" style="4"/>
    <col min="8699" max="8699" width="17.5546875" style="4" customWidth="1"/>
    <col min="8700" max="8700" width="9.109375" style="4"/>
    <col min="8701" max="8701" width="42.5546875" style="4" customWidth="1"/>
    <col min="8702" max="8702" width="23.109375" style="4" customWidth="1"/>
    <col min="8703" max="8703" width="26" style="4" customWidth="1"/>
    <col min="8704" max="8704" width="31.5546875" style="4" customWidth="1"/>
    <col min="8705" max="8705" width="21" style="4" customWidth="1"/>
    <col min="8706" max="8954" width="9.109375" style="4"/>
    <col min="8955" max="8955" width="17.5546875" style="4" customWidth="1"/>
    <col min="8956" max="8956" width="9.109375" style="4"/>
    <col min="8957" max="8957" width="42.5546875" style="4" customWidth="1"/>
    <col min="8958" max="8958" width="23.109375" style="4" customWidth="1"/>
    <col min="8959" max="8959" width="26" style="4" customWidth="1"/>
    <col min="8960" max="8960" width="31.5546875" style="4" customWidth="1"/>
    <col min="8961" max="8961" width="21" style="4" customWidth="1"/>
    <col min="8962" max="9210" width="9.109375" style="4"/>
    <col min="9211" max="9211" width="17.5546875" style="4" customWidth="1"/>
    <col min="9212" max="9212" width="9.109375" style="4"/>
    <col min="9213" max="9213" width="42.5546875" style="4" customWidth="1"/>
    <col min="9214" max="9214" width="23.109375" style="4" customWidth="1"/>
    <col min="9215" max="9215" width="26" style="4" customWidth="1"/>
    <col min="9216" max="9216" width="31.5546875" style="4" customWidth="1"/>
    <col min="9217" max="9217" width="21" style="4" customWidth="1"/>
    <col min="9218" max="9466" width="9.109375" style="4"/>
    <col min="9467" max="9467" width="17.5546875" style="4" customWidth="1"/>
    <col min="9468" max="9468" width="9.109375" style="4"/>
    <col min="9469" max="9469" width="42.5546875" style="4" customWidth="1"/>
    <col min="9470" max="9470" width="23.109375" style="4" customWidth="1"/>
    <col min="9471" max="9471" width="26" style="4" customWidth="1"/>
    <col min="9472" max="9472" width="31.5546875" style="4" customWidth="1"/>
    <col min="9473" max="9473" width="21" style="4" customWidth="1"/>
    <col min="9474" max="9722" width="9.109375" style="4"/>
    <col min="9723" max="9723" width="17.5546875" style="4" customWidth="1"/>
    <col min="9724" max="9724" width="9.109375" style="4"/>
    <col min="9725" max="9725" width="42.5546875" style="4" customWidth="1"/>
    <col min="9726" max="9726" width="23.109375" style="4" customWidth="1"/>
    <col min="9727" max="9727" width="26" style="4" customWidth="1"/>
    <col min="9728" max="9728" width="31.5546875" style="4" customWidth="1"/>
    <col min="9729" max="9729" width="21" style="4" customWidth="1"/>
    <col min="9730" max="9978" width="9.109375" style="4"/>
    <col min="9979" max="9979" width="17.5546875" style="4" customWidth="1"/>
    <col min="9980" max="9980" width="9.109375" style="4"/>
    <col min="9981" max="9981" width="42.5546875" style="4" customWidth="1"/>
    <col min="9982" max="9982" width="23.109375" style="4" customWidth="1"/>
    <col min="9983" max="9983" width="26" style="4" customWidth="1"/>
    <col min="9984" max="9984" width="31.5546875" style="4" customWidth="1"/>
    <col min="9985" max="9985" width="21" style="4" customWidth="1"/>
    <col min="9986" max="10234" width="9.109375" style="4"/>
    <col min="10235" max="10235" width="17.5546875" style="4" customWidth="1"/>
    <col min="10236" max="10236" width="9.109375" style="4"/>
    <col min="10237" max="10237" width="42.5546875" style="4" customWidth="1"/>
    <col min="10238" max="10238" width="23.109375" style="4" customWidth="1"/>
    <col min="10239" max="10239" width="26" style="4" customWidth="1"/>
    <col min="10240" max="10240" width="31.5546875" style="4" customWidth="1"/>
    <col min="10241" max="10241" width="21" style="4" customWidth="1"/>
    <col min="10242" max="10490" width="9.109375" style="4"/>
    <col min="10491" max="10491" width="17.5546875" style="4" customWidth="1"/>
    <col min="10492" max="10492" width="9.109375" style="4"/>
    <col min="10493" max="10493" width="42.5546875" style="4" customWidth="1"/>
    <col min="10494" max="10494" width="23.109375" style="4" customWidth="1"/>
    <col min="10495" max="10495" width="26" style="4" customWidth="1"/>
    <col min="10496" max="10496" width="31.5546875" style="4" customWidth="1"/>
    <col min="10497" max="10497" width="21" style="4" customWidth="1"/>
    <col min="10498" max="10746" width="9.109375" style="4"/>
    <col min="10747" max="10747" width="17.5546875" style="4" customWidth="1"/>
    <col min="10748" max="10748" width="9.109375" style="4"/>
    <col min="10749" max="10749" width="42.5546875" style="4" customWidth="1"/>
    <col min="10750" max="10750" width="23.109375" style="4" customWidth="1"/>
    <col min="10751" max="10751" width="26" style="4" customWidth="1"/>
    <col min="10752" max="10752" width="31.5546875" style="4" customWidth="1"/>
    <col min="10753" max="10753" width="21" style="4" customWidth="1"/>
    <col min="10754" max="11002" width="9.109375" style="4"/>
    <col min="11003" max="11003" width="17.5546875" style="4" customWidth="1"/>
    <col min="11004" max="11004" width="9.109375" style="4"/>
    <col min="11005" max="11005" width="42.5546875" style="4" customWidth="1"/>
    <col min="11006" max="11006" width="23.109375" style="4" customWidth="1"/>
    <col min="11007" max="11007" width="26" style="4" customWidth="1"/>
    <col min="11008" max="11008" width="31.5546875" style="4" customWidth="1"/>
    <col min="11009" max="11009" width="21" style="4" customWidth="1"/>
    <col min="11010" max="11258" width="9.109375" style="4"/>
    <col min="11259" max="11259" width="17.5546875" style="4" customWidth="1"/>
    <col min="11260" max="11260" width="9.109375" style="4"/>
    <col min="11261" max="11261" width="42.5546875" style="4" customWidth="1"/>
    <col min="11262" max="11262" width="23.109375" style="4" customWidth="1"/>
    <col min="11263" max="11263" width="26" style="4" customWidth="1"/>
    <col min="11264" max="11264" width="31.5546875" style="4" customWidth="1"/>
    <col min="11265" max="11265" width="21" style="4" customWidth="1"/>
    <col min="11266" max="11514" width="9.109375" style="4"/>
    <col min="11515" max="11515" width="17.5546875" style="4" customWidth="1"/>
    <col min="11516" max="11516" width="9.109375" style="4"/>
    <col min="11517" max="11517" width="42.5546875" style="4" customWidth="1"/>
    <col min="11518" max="11518" width="23.109375" style="4" customWidth="1"/>
    <col min="11519" max="11519" width="26" style="4" customWidth="1"/>
    <col min="11520" max="11520" width="31.5546875" style="4" customWidth="1"/>
    <col min="11521" max="11521" width="21" style="4" customWidth="1"/>
    <col min="11522" max="11770" width="9.109375" style="4"/>
    <col min="11771" max="11771" width="17.5546875" style="4" customWidth="1"/>
    <col min="11772" max="11772" width="9.109375" style="4"/>
    <col min="11773" max="11773" width="42.5546875" style="4" customWidth="1"/>
    <col min="11774" max="11774" width="23.109375" style="4" customWidth="1"/>
    <col min="11775" max="11775" width="26" style="4" customWidth="1"/>
    <col min="11776" max="11776" width="31.5546875" style="4" customWidth="1"/>
    <col min="11777" max="11777" width="21" style="4" customWidth="1"/>
    <col min="11778" max="12026" width="9.109375" style="4"/>
    <col min="12027" max="12027" width="17.5546875" style="4" customWidth="1"/>
    <col min="12028" max="12028" width="9.109375" style="4"/>
    <col min="12029" max="12029" width="42.5546875" style="4" customWidth="1"/>
    <col min="12030" max="12030" width="23.109375" style="4" customWidth="1"/>
    <col min="12031" max="12031" width="26" style="4" customWidth="1"/>
    <col min="12032" max="12032" width="31.5546875" style="4" customWidth="1"/>
    <col min="12033" max="12033" width="21" style="4" customWidth="1"/>
    <col min="12034" max="12282" width="9.109375" style="4"/>
    <col min="12283" max="12283" width="17.5546875" style="4" customWidth="1"/>
    <col min="12284" max="12284" width="9.109375" style="4"/>
    <col min="12285" max="12285" width="42.5546875" style="4" customWidth="1"/>
    <col min="12286" max="12286" width="23.109375" style="4" customWidth="1"/>
    <col min="12287" max="12287" width="26" style="4" customWidth="1"/>
    <col min="12288" max="12288" width="31.5546875" style="4" customWidth="1"/>
    <col min="12289" max="12289" width="21" style="4" customWidth="1"/>
    <col min="12290" max="12538" width="9.109375" style="4"/>
    <col min="12539" max="12539" width="17.5546875" style="4" customWidth="1"/>
    <col min="12540" max="12540" width="9.109375" style="4"/>
    <col min="12541" max="12541" width="42.5546875" style="4" customWidth="1"/>
    <col min="12542" max="12542" width="23.109375" style="4" customWidth="1"/>
    <col min="12543" max="12543" width="26" style="4" customWidth="1"/>
    <col min="12544" max="12544" width="31.5546875" style="4" customWidth="1"/>
    <col min="12545" max="12545" width="21" style="4" customWidth="1"/>
    <col min="12546" max="12794" width="9.109375" style="4"/>
    <col min="12795" max="12795" width="17.5546875" style="4" customWidth="1"/>
    <col min="12796" max="12796" width="9.109375" style="4"/>
    <col min="12797" max="12797" width="42.5546875" style="4" customWidth="1"/>
    <col min="12798" max="12798" width="23.109375" style="4" customWidth="1"/>
    <col min="12799" max="12799" width="26" style="4" customWidth="1"/>
    <col min="12800" max="12800" width="31.5546875" style="4" customWidth="1"/>
    <col min="12801" max="12801" width="21" style="4" customWidth="1"/>
    <col min="12802" max="13050" width="9.109375" style="4"/>
    <col min="13051" max="13051" width="17.5546875" style="4" customWidth="1"/>
    <col min="13052" max="13052" width="9.109375" style="4"/>
    <col min="13053" max="13053" width="42.5546875" style="4" customWidth="1"/>
    <col min="13054" max="13054" width="23.109375" style="4" customWidth="1"/>
    <col min="13055" max="13055" width="26" style="4" customWidth="1"/>
    <col min="13056" max="13056" width="31.5546875" style="4" customWidth="1"/>
    <col min="13057" max="13057" width="21" style="4" customWidth="1"/>
    <col min="13058" max="13306" width="9.109375" style="4"/>
    <col min="13307" max="13307" width="17.5546875" style="4" customWidth="1"/>
    <col min="13308" max="13308" width="9.109375" style="4"/>
    <col min="13309" max="13309" width="42.5546875" style="4" customWidth="1"/>
    <col min="13310" max="13310" width="23.109375" style="4" customWidth="1"/>
    <col min="13311" max="13311" width="26" style="4" customWidth="1"/>
    <col min="13312" max="13312" width="31.5546875" style="4" customWidth="1"/>
    <col min="13313" max="13313" width="21" style="4" customWidth="1"/>
    <col min="13314" max="13562" width="9.109375" style="4"/>
    <col min="13563" max="13563" width="17.5546875" style="4" customWidth="1"/>
    <col min="13564" max="13564" width="9.109375" style="4"/>
    <col min="13565" max="13565" width="42.5546875" style="4" customWidth="1"/>
    <col min="13566" max="13566" width="23.109375" style="4" customWidth="1"/>
    <col min="13567" max="13567" width="26" style="4" customWidth="1"/>
    <col min="13568" max="13568" width="31.5546875" style="4" customWidth="1"/>
    <col min="13569" max="13569" width="21" style="4" customWidth="1"/>
    <col min="13570" max="13818" width="9.109375" style="4"/>
    <col min="13819" max="13819" width="17.5546875" style="4" customWidth="1"/>
    <col min="13820" max="13820" width="9.109375" style="4"/>
    <col min="13821" max="13821" width="42.5546875" style="4" customWidth="1"/>
    <col min="13822" max="13822" width="23.109375" style="4" customWidth="1"/>
    <col min="13823" max="13823" width="26" style="4" customWidth="1"/>
    <col min="13824" max="13824" width="31.5546875" style="4" customWidth="1"/>
    <col min="13825" max="13825" width="21" style="4" customWidth="1"/>
    <col min="13826" max="14074" width="9.109375" style="4"/>
    <col min="14075" max="14075" width="17.5546875" style="4" customWidth="1"/>
    <col min="14076" max="14076" width="9.109375" style="4"/>
    <col min="14077" max="14077" width="42.5546875" style="4" customWidth="1"/>
    <col min="14078" max="14078" width="23.109375" style="4" customWidth="1"/>
    <col min="14079" max="14079" width="26" style="4" customWidth="1"/>
    <col min="14080" max="14080" width="31.5546875" style="4" customWidth="1"/>
    <col min="14081" max="14081" width="21" style="4" customWidth="1"/>
    <col min="14082" max="14330" width="9.109375" style="4"/>
    <col min="14331" max="14331" width="17.5546875" style="4" customWidth="1"/>
    <col min="14332" max="14332" width="9.109375" style="4"/>
    <col min="14333" max="14333" width="42.5546875" style="4" customWidth="1"/>
    <col min="14334" max="14334" width="23.109375" style="4" customWidth="1"/>
    <col min="14335" max="14335" width="26" style="4" customWidth="1"/>
    <col min="14336" max="14336" width="31.5546875" style="4" customWidth="1"/>
    <col min="14337" max="14337" width="21" style="4" customWidth="1"/>
    <col min="14338" max="14586" width="9.109375" style="4"/>
    <col min="14587" max="14587" width="17.5546875" style="4" customWidth="1"/>
    <col min="14588" max="14588" width="9.109375" style="4"/>
    <col min="14589" max="14589" width="42.5546875" style="4" customWidth="1"/>
    <col min="14590" max="14590" width="23.109375" style="4" customWidth="1"/>
    <col min="14591" max="14591" width="26" style="4" customWidth="1"/>
    <col min="14592" max="14592" width="31.5546875" style="4" customWidth="1"/>
    <col min="14593" max="14593" width="21" style="4" customWidth="1"/>
    <col min="14594" max="14842" width="9.109375" style="4"/>
    <col min="14843" max="14843" width="17.5546875" style="4" customWidth="1"/>
    <col min="14844" max="14844" width="9.109375" style="4"/>
    <col min="14845" max="14845" width="42.5546875" style="4" customWidth="1"/>
    <col min="14846" max="14846" width="23.109375" style="4" customWidth="1"/>
    <col min="14847" max="14847" width="26" style="4" customWidth="1"/>
    <col min="14848" max="14848" width="31.5546875" style="4" customWidth="1"/>
    <col min="14849" max="14849" width="21" style="4" customWidth="1"/>
    <col min="14850" max="15098" width="9.109375" style="4"/>
    <col min="15099" max="15099" width="17.5546875" style="4" customWidth="1"/>
    <col min="15100" max="15100" width="9.109375" style="4"/>
    <col min="15101" max="15101" width="42.5546875" style="4" customWidth="1"/>
    <col min="15102" max="15102" width="23.109375" style="4" customWidth="1"/>
    <col min="15103" max="15103" width="26" style="4" customWidth="1"/>
    <col min="15104" max="15104" width="31.5546875" style="4" customWidth="1"/>
    <col min="15105" max="15105" width="21" style="4" customWidth="1"/>
    <col min="15106" max="15354" width="9.109375" style="4"/>
    <col min="15355" max="15355" width="17.5546875" style="4" customWidth="1"/>
    <col min="15356" max="15356" width="9.109375" style="4"/>
    <col min="15357" max="15357" width="42.5546875" style="4" customWidth="1"/>
    <col min="15358" max="15358" width="23.109375" style="4" customWidth="1"/>
    <col min="15359" max="15359" width="26" style="4" customWidth="1"/>
    <col min="15360" max="15360" width="31.5546875" style="4" customWidth="1"/>
    <col min="15361" max="15361" width="21" style="4" customWidth="1"/>
    <col min="15362" max="15610" width="9.109375" style="4"/>
    <col min="15611" max="15611" width="17.5546875" style="4" customWidth="1"/>
    <col min="15612" max="15612" width="9.109375" style="4"/>
    <col min="15613" max="15613" width="42.5546875" style="4" customWidth="1"/>
    <col min="15614" max="15614" width="23.109375" style="4" customWidth="1"/>
    <col min="15615" max="15615" width="26" style="4" customWidth="1"/>
    <col min="15616" max="15616" width="31.5546875" style="4" customWidth="1"/>
    <col min="15617" max="15617" width="21" style="4" customWidth="1"/>
    <col min="15618" max="15866" width="9.109375" style="4"/>
    <col min="15867" max="15867" width="17.5546875" style="4" customWidth="1"/>
    <col min="15868" max="15868" width="9.109375" style="4"/>
    <col min="15869" max="15869" width="42.5546875" style="4" customWidth="1"/>
    <col min="15870" max="15870" width="23.109375" style="4" customWidth="1"/>
    <col min="15871" max="15871" width="26" style="4" customWidth="1"/>
    <col min="15872" max="15872" width="31.5546875" style="4" customWidth="1"/>
    <col min="15873" max="15873" width="21" style="4" customWidth="1"/>
    <col min="15874" max="16122" width="9.109375" style="4"/>
    <col min="16123" max="16123" width="17.5546875" style="4" customWidth="1"/>
    <col min="16124" max="16124" width="9.109375" style="4"/>
    <col min="16125" max="16125" width="42.5546875" style="4" customWidth="1"/>
    <col min="16126" max="16126" width="23.109375" style="4" customWidth="1"/>
    <col min="16127" max="16127" width="26" style="4" customWidth="1"/>
    <col min="16128" max="16128" width="31.5546875" style="4" customWidth="1"/>
    <col min="16129" max="16129" width="21" style="4" customWidth="1"/>
    <col min="16130" max="16382" width="9.109375" style="4"/>
    <col min="16383" max="16384" width="9.109375" style="4" customWidth="1"/>
  </cols>
  <sheetData>
    <row r="1" spans="1:4" s="2" customFormat="1" ht="63.75" customHeight="1">
      <c r="A1" s="55" t="s">
        <v>10</v>
      </c>
      <c r="B1" s="307" t="s">
        <v>577</v>
      </c>
      <c r="C1" s="307"/>
      <c r="D1" s="307"/>
    </row>
    <row r="2" spans="1:4" ht="56.25" customHeight="1">
      <c r="A2" s="308" t="s">
        <v>589</v>
      </c>
      <c r="B2" s="308"/>
      <c r="C2" s="308"/>
      <c r="D2" s="308"/>
    </row>
    <row r="3" spans="1:4" ht="21" customHeight="1">
      <c r="A3" s="309" t="s">
        <v>527</v>
      </c>
      <c r="B3" s="309"/>
      <c r="C3" s="309"/>
      <c r="D3" s="309"/>
    </row>
    <row r="4" spans="1:4" ht="26.4" customHeight="1">
      <c r="A4" s="5" t="s">
        <v>16</v>
      </c>
      <c r="B4" s="5" t="s">
        <v>17</v>
      </c>
      <c r="C4" s="5" t="s">
        <v>18</v>
      </c>
      <c r="D4" s="5" t="s">
        <v>19</v>
      </c>
    </row>
    <row r="5" spans="1:4" ht="39.75" customHeight="1">
      <c r="A5" s="6">
        <v>1</v>
      </c>
      <c r="B5" s="6" t="s">
        <v>20</v>
      </c>
      <c r="C5" s="6" t="s">
        <v>201</v>
      </c>
      <c r="D5" s="10">
        <f>('Sec-A'!G10)</f>
        <v>27601.73</v>
      </c>
    </row>
    <row r="6" spans="1:4" ht="39.75" customHeight="1">
      <c r="A6" s="7">
        <v>2</v>
      </c>
      <c r="B6" s="6" t="s">
        <v>21</v>
      </c>
      <c r="C6" s="6" t="s">
        <v>22</v>
      </c>
      <c r="D6" s="10">
        <f>('Sec-B'!G149)</f>
        <v>2045823.69</v>
      </c>
    </row>
    <row r="7" spans="1:4" ht="39.75" customHeight="1">
      <c r="A7" s="7">
        <v>3</v>
      </c>
      <c r="B7" s="6" t="s">
        <v>23</v>
      </c>
      <c r="C7" s="7" t="s">
        <v>24</v>
      </c>
      <c r="D7" s="10">
        <f>('SEC-C'!G67)</f>
        <v>3436005.11045</v>
      </c>
    </row>
    <row r="8" spans="1:4" ht="39.75" customHeight="1">
      <c r="A8" s="7">
        <v>4</v>
      </c>
      <c r="B8" s="8" t="s">
        <v>25</v>
      </c>
      <c r="C8" s="6" t="s">
        <v>202</v>
      </c>
      <c r="D8" s="10">
        <v>0</v>
      </c>
    </row>
    <row r="9" spans="1:4" ht="39.75" customHeight="1">
      <c r="A9" s="7">
        <v>5</v>
      </c>
      <c r="B9" s="8" t="s">
        <v>26</v>
      </c>
      <c r="C9" s="7" t="s">
        <v>27</v>
      </c>
      <c r="D9" s="10">
        <f>('SEC E'!G30)</f>
        <v>1065662.6409000002</v>
      </c>
    </row>
    <row r="10" spans="1:4" ht="39.75" customHeight="1">
      <c r="A10" s="7">
        <v>6</v>
      </c>
      <c r="B10" s="8" t="s">
        <v>28</v>
      </c>
      <c r="C10" s="7" t="s">
        <v>29</v>
      </c>
      <c r="D10" s="10">
        <f>('SEC F'!G32)</f>
        <v>802735.21</v>
      </c>
    </row>
    <row r="11" spans="1:4" ht="39.75" customHeight="1">
      <c r="A11" s="7">
        <v>7</v>
      </c>
      <c r="B11" s="8" t="s">
        <v>30</v>
      </c>
      <c r="C11" s="6" t="s">
        <v>200</v>
      </c>
      <c r="D11" s="10">
        <f>('SEC G'!G24)</f>
        <v>117557.44770000002</v>
      </c>
    </row>
    <row r="12" spans="1:4" ht="39.75" customHeight="1">
      <c r="A12" s="7">
        <v>8</v>
      </c>
      <c r="B12" s="9"/>
      <c r="C12" s="1" t="s">
        <v>461</v>
      </c>
      <c r="D12" s="11">
        <f>SUM(D5:D11)</f>
        <v>7495385.8290499998</v>
      </c>
    </row>
  </sheetData>
  <sheetProtection password="CEE5" sheet="1" objects="1" scenarios="1" formatCells="0" formatColumns="0" formatRows="0"/>
  <mergeCells count="3">
    <mergeCell ref="B1:D1"/>
    <mergeCell ref="A2:D2"/>
    <mergeCell ref="A3:D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H18"/>
  <sheetViews>
    <sheetView view="pageBreakPreview" topLeftCell="A3" zoomScale="70" zoomScaleSheetLayoutView="70" workbookViewId="0">
      <selection activeCell="A10" sqref="A10:B10"/>
    </sheetView>
  </sheetViews>
  <sheetFormatPr defaultRowHeight="13.2"/>
  <cols>
    <col min="1" max="1" width="21.88671875" style="24" customWidth="1"/>
    <col min="2" max="2" width="102" style="25" customWidth="1"/>
    <col min="3" max="3" width="11.88671875" style="24" customWidth="1"/>
    <col min="4" max="4" width="4.6640625" style="64" customWidth="1"/>
    <col min="5" max="5" width="42.44140625" style="28" hidden="1" customWidth="1"/>
    <col min="6" max="6" width="43" style="28" customWidth="1"/>
    <col min="7" max="7" width="32.88671875" style="74" customWidth="1"/>
    <col min="8" max="8" width="12.109375" style="27" hidden="1" customWidth="1"/>
    <col min="9" max="255" width="9" style="27"/>
    <col min="256" max="256" width="21.109375" style="27" customWidth="1"/>
    <col min="257" max="257" width="120.5546875" style="27" customWidth="1"/>
    <col min="258" max="259" width="11.88671875" style="27" customWidth="1"/>
    <col min="260" max="260" width="43" style="27" customWidth="1"/>
    <col min="261" max="261" width="40" style="27" customWidth="1"/>
    <col min="262" max="262" width="9" style="27"/>
    <col min="263" max="263" width="40" style="27" customWidth="1"/>
    <col min="264" max="511" width="9" style="27"/>
    <col min="512" max="512" width="21.109375" style="27" customWidth="1"/>
    <col min="513" max="513" width="120.5546875" style="27" customWidth="1"/>
    <col min="514" max="515" width="11.88671875" style="27" customWidth="1"/>
    <col min="516" max="516" width="43" style="27" customWidth="1"/>
    <col min="517" max="517" width="40" style="27" customWidth="1"/>
    <col min="518" max="518" width="9" style="27"/>
    <col min="519" max="519" width="40" style="27" customWidth="1"/>
    <col min="520" max="767" width="9" style="27"/>
    <col min="768" max="768" width="21.109375" style="27" customWidth="1"/>
    <col min="769" max="769" width="120.5546875" style="27" customWidth="1"/>
    <col min="770" max="771" width="11.88671875" style="27" customWidth="1"/>
    <col min="772" max="772" width="43" style="27" customWidth="1"/>
    <col min="773" max="773" width="40" style="27" customWidth="1"/>
    <col min="774" max="774" width="9" style="27"/>
    <col min="775" max="775" width="40" style="27" customWidth="1"/>
    <col min="776" max="1023" width="9" style="27"/>
    <col min="1024" max="1024" width="21.109375" style="27" customWidth="1"/>
    <col min="1025" max="1025" width="120.5546875" style="27" customWidth="1"/>
    <col min="1026" max="1027" width="11.88671875" style="27" customWidth="1"/>
    <col min="1028" max="1028" width="43" style="27" customWidth="1"/>
    <col min="1029" max="1029" width="40" style="27" customWidth="1"/>
    <col min="1030" max="1030" width="9" style="27"/>
    <col min="1031" max="1031" width="40" style="27" customWidth="1"/>
    <col min="1032" max="1279" width="9" style="27"/>
    <col min="1280" max="1280" width="21.109375" style="27" customWidth="1"/>
    <col min="1281" max="1281" width="120.5546875" style="27" customWidth="1"/>
    <col min="1282" max="1283" width="11.88671875" style="27" customWidth="1"/>
    <col min="1284" max="1284" width="43" style="27" customWidth="1"/>
    <col min="1285" max="1285" width="40" style="27" customWidth="1"/>
    <col min="1286" max="1286" width="9" style="27"/>
    <col min="1287" max="1287" width="40" style="27" customWidth="1"/>
    <col min="1288" max="1535" width="9" style="27"/>
    <col min="1536" max="1536" width="21.109375" style="27" customWidth="1"/>
    <col min="1537" max="1537" width="120.5546875" style="27" customWidth="1"/>
    <col min="1538" max="1539" width="11.88671875" style="27" customWidth="1"/>
    <col min="1540" max="1540" width="43" style="27" customWidth="1"/>
    <col min="1541" max="1541" width="40" style="27" customWidth="1"/>
    <col min="1542" max="1542" width="9" style="27"/>
    <col min="1543" max="1543" width="40" style="27" customWidth="1"/>
    <col min="1544" max="1791" width="9" style="27"/>
    <col min="1792" max="1792" width="21.109375" style="27" customWidth="1"/>
    <col min="1793" max="1793" width="120.5546875" style="27" customWidth="1"/>
    <col min="1794" max="1795" width="11.88671875" style="27" customWidth="1"/>
    <col min="1796" max="1796" width="43" style="27" customWidth="1"/>
    <col min="1797" max="1797" width="40" style="27" customWidth="1"/>
    <col min="1798" max="1798" width="9" style="27"/>
    <col min="1799" max="1799" width="40" style="27" customWidth="1"/>
    <col min="1800" max="2047" width="9" style="27"/>
    <col min="2048" max="2048" width="21.109375" style="27" customWidth="1"/>
    <col min="2049" max="2049" width="120.5546875" style="27" customWidth="1"/>
    <col min="2050" max="2051" width="11.88671875" style="27" customWidth="1"/>
    <col min="2052" max="2052" width="43" style="27" customWidth="1"/>
    <col min="2053" max="2053" width="40" style="27" customWidth="1"/>
    <col min="2054" max="2054" width="9" style="27"/>
    <col min="2055" max="2055" width="40" style="27" customWidth="1"/>
    <col min="2056" max="2303" width="9" style="27"/>
    <col min="2304" max="2304" width="21.109375" style="27" customWidth="1"/>
    <col min="2305" max="2305" width="120.5546875" style="27" customWidth="1"/>
    <col min="2306" max="2307" width="11.88671875" style="27" customWidth="1"/>
    <col min="2308" max="2308" width="43" style="27" customWidth="1"/>
    <col min="2309" max="2309" width="40" style="27" customWidth="1"/>
    <col min="2310" max="2310" width="9" style="27"/>
    <col min="2311" max="2311" width="40" style="27" customWidth="1"/>
    <col min="2312" max="2559" width="9" style="27"/>
    <col min="2560" max="2560" width="21.109375" style="27" customWidth="1"/>
    <col min="2561" max="2561" width="120.5546875" style="27" customWidth="1"/>
    <col min="2562" max="2563" width="11.88671875" style="27" customWidth="1"/>
    <col min="2564" max="2564" width="43" style="27" customWidth="1"/>
    <col min="2565" max="2565" width="40" style="27" customWidth="1"/>
    <col min="2566" max="2566" width="9" style="27"/>
    <col min="2567" max="2567" width="40" style="27" customWidth="1"/>
    <col min="2568" max="2815" width="9" style="27"/>
    <col min="2816" max="2816" width="21.109375" style="27" customWidth="1"/>
    <col min="2817" max="2817" width="120.5546875" style="27" customWidth="1"/>
    <col min="2818" max="2819" width="11.88671875" style="27" customWidth="1"/>
    <col min="2820" max="2820" width="43" style="27" customWidth="1"/>
    <col min="2821" max="2821" width="40" style="27" customWidth="1"/>
    <col min="2822" max="2822" width="9" style="27"/>
    <col min="2823" max="2823" width="40" style="27" customWidth="1"/>
    <col min="2824" max="3071" width="9" style="27"/>
    <col min="3072" max="3072" width="21.109375" style="27" customWidth="1"/>
    <col min="3073" max="3073" width="120.5546875" style="27" customWidth="1"/>
    <col min="3074" max="3075" width="11.88671875" style="27" customWidth="1"/>
    <col min="3076" max="3076" width="43" style="27" customWidth="1"/>
    <col min="3077" max="3077" width="40" style="27" customWidth="1"/>
    <col min="3078" max="3078" width="9" style="27"/>
    <col min="3079" max="3079" width="40" style="27" customWidth="1"/>
    <col min="3080" max="3327" width="9" style="27"/>
    <col min="3328" max="3328" width="21.109375" style="27" customWidth="1"/>
    <col min="3329" max="3329" width="120.5546875" style="27" customWidth="1"/>
    <col min="3330" max="3331" width="11.88671875" style="27" customWidth="1"/>
    <col min="3332" max="3332" width="43" style="27" customWidth="1"/>
    <col min="3333" max="3333" width="40" style="27" customWidth="1"/>
    <col min="3334" max="3334" width="9" style="27"/>
    <col min="3335" max="3335" width="40" style="27" customWidth="1"/>
    <col min="3336" max="3583" width="9" style="27"/>
    <col min="3584" max="3584" width="21.109375" style="27" customWidth="1"/>
    <col min="3585" max="3585" width="120.5546875" style="27" customWidth="1"/>
    <col min="3586" max="3587" width="11.88671875" style="27" customWidth="1"/>
    <col min="3588" max="3588" width="43" style="27" customWidth="1"/>
    <col min="3589" max="3589" width="40" style="27" customWidth="1"/>
    <col min="3590" max="3590" width="9" style="27"/>
    <col min="3591" max="3591" width="40" style="27" customWidth="1"/>
    <col min="3592" max="3839" width="9" style="27"/>
    <col min="3840" max="3840" width="21.109375" style="27" customWidth="1"/>
    <col min="3841" max="3841" width="120.5546875" style="27" customWidth="1"/>
    <col min="3842" max="3843" width="11.88671875" style="27" customWidth="1"/>
    <col min="3844" max="3844" width="43" style="27" customWidth="1"/>
    <col min="3845" max="3845" width="40" style="27" customWidth="1"/>
    <col min="3846" max="3846" width="9" style="27"/>
    <col min="3847" max="3847" width="40" style="27" customWidth="1"/>
    <col min="3848" max="4095" width="9" style="27"/>
    <col min="4096" max="4096" width="21.109375" style="27" customWidth="1"/>
    <col min="4097" max="4097" width="120.5546875" style="27" customWidth="1"/>
    <col min="4098" max="4099" width="11.88671875" style="27" customWidth="1"/>
    <col min="4100" max="4100" width="43" style="27" customWidth="1"/>
    <col min="4101" max="4101" width="40" style="27" customWidth="1"/>
    <col min="4102" max="4102" width="9" style="27"/>
    <col min="4103" max="4103" width="40" style="27" customWidth="1"/>
    <col min="4104" max="4351" width="9" style="27"/>
    <col min="4352" max="4352" width="21.109375" style="27" customWidth="1"/>
    <col min="4353" max="4353" width="120.5546875" style="27" customWidth="1"/>
    <col min="4354" max="4355" width="11.88671875" style="27" customWidth="1"/>
    <col min="4356" max="4356" width="43" style="27" customWidth="1"/>
    <col min="4357" max="4357" width="40" style="27" customWidth="1"/>
    <col min="4358" max="4358" width="9" style="27"/>
    <col min="4359" max="4359" width="40" style="27" customWidth="1"/>
    <col min="4360" max="4607" width="9" style="27"/>
    <col min="4608" max="4608" width="21.109375" style="27" customWidth="1"/>
    <col min="4609" max="4609" width="120.5546875" style="27" customWidth="1"/>
    <col min="4610" max="4611" width="11.88671875" style="27" customWidth="1"/>
    <col min="4612" max="4612" width="43" style="27" customWidth="1"/>
    <col min="4613" max="4613" width="40" style="27" customWidth="1"/>
    <col min="4614" max="4614" width="9" style="27"/>
    <col min="4615" max="4615" width="40" style="27" customWidth="1"/>
    <col min="4616" max="4863" width="9" style="27"/>
    <col min="4864" max="4864" width="21.109375" style="27" customWidth="1"/>
    <col min="4865" max="4865" width="120.5546875" style="27" customWidth="1"/>
    <col min="4866" max="4867" width="11.88671875" style="27" customWidth="1"/>
    <col min="4868" max="4868" width="43" style="27" customWidth="1"/>
    <col min="4869" max="4869" width="40" style="27" customWidth="1"/>
    <col min="4870" max="4870" width="9" style="27"/>
    <col min="4871" max="4871" width="40" style="27" customWidth="1"/>
    <col min="4872" max="5119" width="9" style="27"/>
    <col min="5120" max="5120" width="21.109375" style="27" customWidth="1"/>
    <col min="5121" max="5121" width="120.5546875" style="27" customWidth="1"/>
    <col min="5122" max="5123" width="11.88671875" style="27" customWidth="1"/>
    <col min="5124" max="5124" width="43" style="27" customWidth="1"/>
    <col min="5125" max="5125" width="40" style="27" customWidth="1"/>
    <col min="5126" max="5126" width="9" style="27"/>
    <col min="5127" max="5127" width="40" style="27" customWidth="1"/>
    <col min="5128" max="5375" width="9" style="27"/>
    <col min="5376" max="5376" width="21.109375" style="27" customWidth="1"/>
    <col min="5377" max="5377" width="120.5546875" style="27" customWidth="1"/>
    <col min="5378" max="5379" width="11.88671875" style="27" customWidth="1"/>
    <col min="5380" max="5380" width="43" style="27" customWidth="1"/>
    <col min="5381" max="5381" width="40" style="27" customWidth="1"/>
    <col min="5382" max="5382" width="9" style="27"/>
    <col min="5383" max="5383" width="40" style="27" customWidth="1"/>
    <col min="5384" max="5631" width="9" style="27"/>
    <col min="5632" max="5632" width="21.109375" style="27" customWidth="1"/>
    <col min="5633" max="5633" width="120.5546875" style="27" customWidth="1"/>
    <col min="5634" max="5635" width="11.88671875" style="27" customWidth="1"/>
    <col min="5636" max="5636" width="43" style="27" customWidth="1"/>
    <col min="5637" max="5637" width="40" style="27" customWidth="1"/>
    <col min="5638" max="5638" width="9" style="27"/>
    <col min="5639" max="5639" width="40" style="27" customWidth="1"/>
    <col min="5640" max="5887" width="9" style="27"/>
    <col min="5888" max="5888" width="21.109375" style="27" customWidth="1"/>
    <col min="5889" max="5889" width="120.5546875" style="27" customWidth="1"/>
    <col min="5890" max="5891" width="11.88671875" style="27" customWidth="1"/>
    <col min="5892" max="5892" width="43" style="27" customWidth="1"/>
    <col min="5893" max="5893" width="40" style="27" customWidth="1"/>
    <col min="5894" max="5894" width="9" style="27"/>
    <col min="5895" max="5895" width="40" style="27" customWidth="1"/>
    <col min="5896" max="6143" width="9" style="27"/>
    <col min="6144" max="6144" width="21.109375" style="27" customWidth="1"/>
    <col min="6145" max="6145" width="120.5546875" style="27" customWidth="1"/>
    <col min="6146" max="6147" width="11.88671875" style="27" customWidth="1"/>
    <col min="6148" max="6148" width="43" style="27" customWidth="1"/>
    <col min="6149" max="6149" width="40" style="27" customWidth="1"/>
    <col min="6150" max="6150" width="9" style="27"/>
    <col min="6151" max="6151" width="40" style="27" customWidth="1"/>
    <col min="6152" max="6399" width="9" style="27"/>
    <col min="6400" max="6400" width="21.109375" style="27" customWidth="1"/>
    <col min="6401" max="6401" width="120.5546875" style="27" customWidth="1"/>
    <col min="6402" max="6403" width="11.88671875" style="27" customWidth="1"/>
    <col min="6404" max="6404" width="43" style="27" customWidth="1"/>
    <col min="6405" max="6405" width="40" style="27" customWidth="1"/>
    <col min="6406" max="6406" width="9" style="27"/>
    <col min="6407" max="6407" width="40" style="27" customWidth="1"/>
    <col min="6408" max="6655" width="9" style="27"/>
    <col min="6656" max="6656" width="21.109375" style="27" customWidth="1"/>
    <col min="6657" max="6657" width="120.5546875" style="27" customWidth="1"/>
    <col min="6658" max="6659" width="11.88671875" style="27" customWidth="1"/>
    <col min="6660" max="6660" width="43" style="27" customWidth="1"/>
    <col min="6661" max="6661" width="40" style="27" customWidth="1"/>
    <col min="6662" max="6662" width="9" style="27"/>
    <col min="6663" max="6663" width="40" style="27" customWidth="1"/>
    <col min="6664" max="6911" width="9" style="27"/>
    <col min="6912" max="6912" width="21.109375" style="27" customWidth="1"/>
    <col min="6913" max="6913" width="120.5546875" style="27" customWidth="1"/>
    <col min="6914" max="6915" width="11.88671875" style="27" customWidth="1"/>
    <col min="6916" max="6916" width="43" style="27" customWidth="1"/>
    <col min="6917" max="6917" width="40" style="27" customWidth="1"/>
    <col min="6918" max="6918" width="9" style="27"/>
    <col min="6919" max="6919" width="40" style="27" customWidth="1"/>
    <col min="6920" max="7167" width="9" style="27"/>
    <col min="7168" max="7168" width="21.109375" style="27" customWidth="1"/>
    <col min="7169" max="7169" width="120.5546875" style="27" customWidth="1"/>
    <col min="7170" max="7171" width="11.88671875" style="27" customWidth="1"/>
    <col min="7172" max="7172" width="43" style="27" customWidth="1"/>
    <col min="7173" max="7173" width="40" style="27" customWidth="1"/>
    <col min="7174" max="7174" width="9" style="27"/>
    <col min="7175" max="7175" width="40" style="27" customWidth="1"/>
    <col min="7176" max="7423" width="9" style="27"/>
    <col min="7424" max="7424" width="21.109375" style="27" customWidth="1"/>
    <col min="7425" max="7425" width="120.5546875" style="27" customWidth="1"/>
    <col min="7426" max="7427" width="11.88671875" style="27" customWidth="1"/>
    <col min="7428" max="7428" width="43" style="27" customWidth="1"/>
    <col min="7429" max="7429" width="40" style="27" customWidth="1"/>
    <col min="7430" max="7430" width="9" style="27"/>
    <col min="7431" max="7431" width="40" style="27" customWidth="1"/>
    <col min="7432" max="7679" width="9" style="27"/>
    <col min="7680" max="7680" width="21.109375" style="27" customWidth="1"/>
    <col min="7681" max="7681" width="120.5546875" style="27" customWidth="1"/>
    <col min="7682" max="7683" width="11.88671875" style="27" customWidth="1"/>
    <col min="7684" max="7684" width="43" style="27" customWidth="1"/>
    <col min="7685" max="7685" width="40" style="27" customWidth="1"/>
    <col min="7686" max="7686" width="9" style="27"/>
    <col min="7687" max="7687" width="40" style="27" customWidth="1"/>
    <col min="7688" max="7935" width="9" style="27"/>
    <col min="7936" max="7936" width="21.109375" style="27" customWidth="1"/>
    <col min="7937" max="7937" width="120.5546875" style="27" customWidth="1"/>
    <col min="7938" max="7939" width="11.88671875" style="27" customWidth="1"/>
    <col min="7940" max="7940" width="43" style="27" customWidth="1"/>
    <col min="7941" max="7941" width="40" style="27" customWidth="1"/>
    <col min="7942" max="7942" width="9" style="27"/>
    <col min="7943" max="7943" width="40" style="27" customWidth="1"/>
    <col min="7944" max="8191" width="9" style="27"/>
    <col min="8192" max="8192" width="21.109375" style="27" customWidth="1"/>
    <col min="8193" max="8193" width="120.5546875" style="27" customWidth="1"/>
    <col min="8194" max="8195" width="11.88671875" style="27" customWidth="1"/>
    <col min="8196" max="8196" width="43" style="27" customWidth="1"/>
    <col min="8197" max="8197" width="40" style="27" customWidth="1"/>
    <col min="8198" max="8198" width="9" style="27"/>
    <col min="8199" max="8199" width="40" style="27" customWidth="1"/>
    <col min="8200" max="8447" width="9" style="27"/>
    <col min="8448" max="8448" width="21.109375" style="27" customWidth="1"/>
    <col min="8449" max="8449" width="120.5546875" style="27" customWidth="1"/>
    <col min="8450" max="8451" width="11.88671875" style="27" customWidth="1"/>
    <col min="8452" max="8452" width="43" style="27" customWidth="1"/>
    <col min="8453" max="8453" width="40" style="27" customWidth="1"/>
    <col min="8454" max="8454" width="9" style="27"/>
    <col min="8455" max="8455" width="40" style="27" customWidth="1"/>
    <col min="8456" max="8703" width="9" style="27"/>
    <col min="8704" max="8704" width="21.109375" style="27" customWidth="1"/>
    <col min="8705" max="8705" width="120.5546875" style="27" customWidth="1"/>
    <col min="8706" max="8707" width="11.88671875" style="27" customWidth="1"/>
    <col min="8708" max="8708" width="43" style="27" customWidth="1"/>
    <col min="8709" max="8709" width="40" style="27" customWidth="1"/>
    <col min="8710" max="8710" width="9" style="27"/>
    <col min="8711" max="8711" width="40" style="27" customWidth="1"/>
    <col min="8712" max="8959" width="9" style="27"/>
    <col min="8960" max="8960" width="21.109375" style="27" customWidth="1"/>
    <col min="8961" max="8961" width="120.5546875" style="27" customWidth="1"/>
    <col min="8962" max="8963" width="11.88671875" style="27" customWidth="1"/>
    <col min="8964" max="8964" width="43" style="27" customWidth="1"/>
    <col min="8965" max="8965" width="40" style="27" customWidth="1"/>
    <col min="8966" max="8966" width="9" style="27"/>
    <col min="8967" max="8967" width="40" style="27" customWidth="1"/>
    <col min="8968" max="9215" width="9" style="27"/>
    <col min="9216" max="9216" width="21.109375" style="27" customWidth="1"/>
    <col min="9217" max="9217" width="120.5546875" style="27" customWidth="1"/>
    <col min="9218" max="9219" width="11.88671875" style="27" customWidth="1"/>
    <col min="9220" max="9220" width="43" style="27" customWidth="1"/>
    <col min="9221" max="9221" width="40" style="27" customWidth="1"/>
    <col min="9222" max="9222" width="9" style="27"/>
    <col min="9223" max="9223" width="40" style="27" customWidth="1"/>
    <col min="9224" max="9471" width="9" style="27"/>
    <col min="9472" max="9472" width="21.109375" style="27" customWidth="1"/>
    <col min="9473" max="9473" width="120.5546875" style="27" customWidth="1"/>
    <col min="9474" max="9475" width="11.88671875" style="27" customWidth="1"/>
    <col min="9476" max="9476" width="43" style="27" customWidth="1"/>
    <col min="9477" max="9477" width="40" style="27" customWidth="1"/>
    <col min="9478" max="9478" width="9" style="27"/>
    <col min="9479" max="9479" width="40" style="27" customWidth="1"/>
    <col min="9480" max="9727" width="9" style="27"/>
    <col min="9728" max="9728" width="21.109375" style="27" customWidth="1"/>
    <col min="9729" max="9729" width="120.5546875" style="27" customWidth="1"/>
    <col min="9730" max="9731" width="11.88671875" style="27" customWidth="1"/>
    <col min="9732" max="9732" width="43" style="27" customWidth="1"/>
    <col min="9733" max="9733" width="40" style="27" customWidth="1"/>
    <col min="9734" max="9734" width="9" style="27"/>
    <col min="9735" max="9735" width="40" style="27" customWidth="1"/>
    <col min="9736" max="9983" width="9" style="27"/>
    <col min="9984" max="9984" width="21.109375" style="27" customWidth="1"/>
    <col min="9985" max="9985" width="120.5546875" style="27" customWidth="1"/>
    <col min="9986" max="9987" width="11.88671875" style="27" customWidth="1"/>
    <col min="9988" max="9988" width="43" style="27" customWidth="1"/>
    <col min="9989" max="9989" width="40" style="27" customWidth="1"/>
    <col min="9990" max="9990" width="9" style="27"/>
    <col min="9991" max="9991" width="40" style="27" customWidth="1"/>
    <col min="9992" max="10239" width="9" style="27"/>
    <col min="10240" max="10240" width="21.109375" style="27" customWidth="1"/>
    <col min="10241" max="10241" width="120.5546875" style="27" customWidth="1"/>
    <col min="10242" max="10243" width="11.88671875" style="27" customWidth="1"/>
    <col min="10244" max="10244" width="43" style="27" customWidth="1"/>
    <col min="10245" max="10245" width="40" style="27" customWidth="1"/>
    <col min="10246" max="10246" width="9" style="27"/>
    <col min="10247" max="10247" width="40" style="27" customWidth="1"/>
    <col min="10248" max="10495" width="9" style="27"/>
    <col min="10496" max="10496" width="21.109375" style="27" customWidth="1"/>
    <col min="10497" max="10497" width="120.5546875" style="27" customWidth="1"/>
    <col min="10498" max="10499" width="11.88671875" style="27" customWidth="1"/>
    <col min="10500" max="10500" width="43" style="27" customWidth="1"/>
    <col min="10501" max="10501" width="40" style="27" customWidth="1"/>
    <col min="10502" max="10502" width="9" style="27"/>
    <col min="10503" max="10503" width="40" style="27" customWidth="1"/>
    <col min="10504" max="10751" width="9" style="27"/>
    <col min="10752" max="10752" width="21.109375" style="27" customWidth="1"/>
    <col min="10753" max="10753" width="120.5546875" style="27" customWidth="1"/>
    <col min="10754" max="10755" width="11.88671875" style="27" customWidth="1"/>
    <col min="10756" max="10756" width="43" style="27" customWidth="1"/>
    <col min="10757" max="10757" width="40" style="27" customWidth="1"/>
    <col min="10758" max="10758" width="9" style="27"/>
    <col min="10759" max="10759" width="40" style="27" customWidth="1"/>
    <col min="10760" max="11007" width="9" style="27"/>
    <col min="11008" max="11008" width="21.109375" style="27" customWidth="1"/>
    <col min="11009" max="11009" width="120.5546875" style="27" customWidth="1"/>
    <col min="11010" max="11011" width="11.88671875" style="27" customWidth="1"/>
    <col min="11012" max="11012" width="43" style="27" customWidth="1"/>
    <col min="11013" max="11013" width="40" style="27" customWidth="1"/>
    <col min="11014" max="11014" width="9" style="27"/>
    <col min="11015" max="11015" width="40" style="27" customWidth="1"/>
    <col min="11016" max="11263" width="9" style="27"/>
    <col min="11264" max="11264" width="21.109375" style="27" customWidth="1"/>
    <col min="11265" max="11265" width="120.5546875" style="27" customWidth="1"/>
    <col min="11266" max="11267" width="11.88671875" style="27" customWidth="1"/>
    <col min="11268" max="11268" width="43" style="27" customWidth="1"/>
    <col min="11269" max="11269" width="40" style="27" customWidth="1"/>
    <col min="11270" max="11270" width="9" style="27"/>
    <col min="11271" max="11271" width="40" style="27" customWidth="1"/>
    <col min="11272" max="11519" width="9" style="27"/>
    <col min="11520" max="11520" width="21.109375" style="27" customWidth="1"/>
    <col min="11521" max="11521" width="120.5546875" style="27" customWidth="1"/>
    <col min="11522" max="11523" width="11.88671875" style="27" customWidth="1"/>
    <col min="11524" max="11524" width="43" style="27" customWidth="1"/>
    <col min="11525" max="11525" width="40" style="27" customWidth="1"/>
    <col min="11526" max="11526" width="9" style="27"/>
    <col min="11527" max="11527" width="40" style="27" customWidth="1"/>
    <col min="11528" max="11775" width="9" style="27"/>
    <col min="11776" max="11776" width="21.109375" style="27" customWidth="1"/>
    <col min="11777" max="11777" width="120.5546875" style="27" customWidth="1"/>
    <col min="11778" max="11779" width="11.88671875" style="27" customWidth="1"/>
    <col min="11780" max="11780" width="43" style="27" customWidth="1"/>
    <col min="11781" max="11781" width="40" style="27" customWidth="1"/>
    <col min="11782" max="11782" width="9" style="27"/>
    <col min="11783" max="11783" width="40" style="27" customWidth="1"/>
    <col min="11784" max="12031" width="9" style="27"/>
    <col min="12032" max="12032" width="21.109375" style="27" customWidth="1"/>
    <col min="12033" max="12033" width="120.5546875" style="27" customWidth="1"/>
    <col min="12034" max="12035" width="11.88671875" style="27" customWidth="1"/>
    <col min="12036" max="12036" width="43" style="27" customWidth="1"/>
    <col min="12037" max="12037" width="40" style="27" customWidth="1"/>
    <col min="12038" max="12038" width="9" style="27"/>
    <col min="12039" max="12039" width="40" style="27" customWidth="1"/>
    <col min="12040" max="12287" width="9" style="27"/>
    <col min="12288" max="12288" width="21.109375" style="27" customWidth="1"/>
    <col min="12289" max="12289" width="120.5546875" style="27" customWidth="1"/>
    <col min="12290" max="12291" width="11.88671875" style="27" customWidth="1"/>
    <col min="12292" max="12292" width="43" style="27" customWidth="1"/>
    <col min="12293" max="12293" width="40" style="27" customWidth="1"/>
    <col min="12294" max="12294" width="9" style="27"/>
    <col min="12295" max="12295" width="40" style="27" customWidth="1"/>
    <col min="12296" max="12543" width="9" style="27"/>
    <col min="12544" max="12544" width="21.109375" style="27" customWidth="1"/>
    <col min="12545" max="12545" width="120.5546875" style="27" customWidth="1"/>
    <col min="12546" max="12547" width="11.88671875" style="27" customWidth="1"/>
    <col min="12548" max="12548" width="43" style="27" customWidth="1"/>
    <col min="12549" max="12549" width="40" style="27" customWidth="1"/>
    <col min="12550" max="12550" width="9" style="27"/>
    <col min="12551" max="12551" width="40" style="27" customWidth="1"/>
    <col min="12552" max="12799" width="9" style="27"/>
    <col min="12800" max="12800" width="21.109375" style="27" customWidth="1"/>
    <col min="12801" max="12801" width="120.5546875" style="27" customWidth="1"/>
    <col min="12802" max="12803" width="11.88671875" style="27" customWidth="1"/>
    <col min="12804" max="12804" width="43" style="27" customWidth="1"/>
    <col min="12805" max="12805" width="40" style="27" customWidth="1"/>
    <col min="12806" max="12806" width="9" style="27"/>
    <col min="12807" max="12807" width="40" style="27" customWidth="1"/>
    <col min="12808" max="13055" width="9" style="27"/>
    <col min="13056" max="13056" width="21.109375" style="27" customWidth="1"/>
    <col min="13057" max="13057" width="120.5546875" style="27" customWidth="1"/>
    <col min="13058" max="13059" width="11.88671875" style="27" customWidth="1"/>
    <col min="13060" max="13060" width="43" style="27" customWidth="1"/>
    <col min="13061" max="13061" width="40" style="27" customWidth="1"/>
    <col min="13062" max="13062" width="9" style="27"/>
    <col min="13063" max="13063" width="40" style="27" customWidth="1"/>
    <col min="13064" max="13311" width="9" style="27"/>
    <col min="13312" max="13312" width="21.109375" style="27" customWidth="1"/>
    <col min="13313" max="13313" width="120.5546875" style="27" customWidth="1"/>
    <col min="13314" max="13315" width="11.88671875" style="27" customWidth="1"/>
    <col min="13316" max="13316" width="43" style="27" customWidth="1"/>
    <col min="13317" max="13317" width="40" style="27" customWidth="1"/>
    <col min="13318" max="13318" width="9" style="27"/>
    <col min="13319" max="13319" width="40" style="27" customWidth="1"/>
    <col min="13320" max="13567" width="9" style="27"/>
    <col min="13568" max="13568" width="21.109375" style="27" customWidth="1"/>
    <col min="13569" max="13569" width="120.5546875" style="27" customWidth="1"/>
    <col min="13570" max="13571" width="11.88671875" style="27" customWidth="1"/>
    <col min="13572" max="13572" width="43" style="27" customWidth="1"/>
    <col min="13573" max="13573" width="40" style="27" customWidth="1"/>
    <col min="13574" max="13574" width="9" style="27"/>
    <col min="13575" max="13575" width="40" style="27" customWidth="1"/>
    <col min="13576" max="13823" width="9" style="27"/>
    <col min="13824" max="13824" width="21.109375" style="27" customWidth="1"/>
    <col min="13825" max="13825" width="120.5546875" style="27" customWidth="1"/>
    <col min="13826" max="13827" width="11.88671875" style="27" customWidth="1"/>
    <col min="13828" max="13828" width="43" style="27" customWidth="1"/>
    <col min="13829" max="13829" width="40" style="27" customWidth="1"/>
    <col min="13830" max="13830" width="9" style="27"/>
    <col min="13831" max="13831" width="40" style="27" customWidth="1"/>
    <col min="13832" max="14079" width="9" style="27"/>
    <col min="14080" max="14080" width="21.109375" style="27" customWidth="1"/>
    <col min="14081" max="14081" width="120.5546875" style="27" customWidth="1"/>
    <col min="14082" max="14083" width="11.88671875" style="27" customWidth="1"/>
    <col min="14084" max="14084" width="43" style="27" customWidth="1"/>
    <col min="14085" max="14085" width="40" style="27" customWidth="1"/>
    <col min="14086" max="14086" width="9" style="27"/>
    <col min="14087" max="14087" width="40" style="27" customWidth="1"/>
    <col min="14088" max="14335" width="9" style="27"/>
    <col min="14336" max="14336" width="21.109375" style="27" customWidth="1"/>
    <col min="14337" max="14337" width="120.5546875" style="27" customWidth="1"/>
    <col min="14338" max="14339" width="11.88671875" style="27" customWidth="1"/>
    <col min="14340" max="14340" width="43" style="27" customWidth="1"/>
    <col min="14341" max="14341" width="40" style="27" customWidth="1"/>
    <col min="14342" max="14342" width="9" style="27"/>
    <col min="14343" max="14343" width="40" style="27" customWidth="1"/>
    <col min="14344" max="14591" width="9" style="27"/>
    <col min="14592" max="14592" width="21.109375" style="27" customWidth="1"/>
    <col min="14593" max="14593" width="120.5546875" style="27" customWidth="1"/>
    <col min="14594" max="14595" width="11.88671875" style="27" customWidth="1"/>
    <col min="14596" max="14596" width="43" style="27" customWidth="1"/>
    <col min="14597" max="14597" width="40" style="27" customWidth="1"/>
    <col min="14598" max="14598" width="9" style="27"/>
    <col min="14599" max="14599" width="40" style="27" customWidth="1"/>
    <col min="14600" max="14847" width="9" style="27"/>
    <col min="14848" max="14848" width="21.109375" style="27" customWidth="1"/>
    <col min="14849" max="14849" width="120.5546875" style="27" customWidth="1"/>
    <col min="14850" max="14851" width="11.88671875" style="27" customWidth="1"/>
    <col min="14852" max="14852" width="43" style="27" customWidth="1"/>
    <col min="14853" max="14853" width="40" style="27" customWidth="1"/>
    <col min="14854" max="14854" width="9" style="27"/>
    <col min="14855" max="14855" width="40" style="27" customWidth="1"/>
    <col min="14856" max="15103" width="9" style="27"/>
    <col min="15104" max="15104" width="21.109375" style="27" customWidth="1"/>
    <col min="15105" max="15105" width="120.5546875" style="27" customWidth="1"/>
    <col min="15106" max="15107" width="11.88671875" style="27" customWidth="1"/>
    <col min="15108" max="15108" width="43" style="27" customWidth="1"/>
    <col min="15109" max="15109" width="40" style="27" customWidth="1"/>
    <col min="15110" max="15110" width="9" style="27"/>
    <col min="15111" max="15111" width="40" style="27" customWidth="1"/>
    <col min="15112" max="15359" width="9" style="27"/>
    <col min="15360" max="15360" width="21.109375" style="27" customWidth="1"/>
    <col min="15361" max="15361" width="120.5546875" style="27" customWidth="1"/>
    <col min="15362" max="15363" width="11.88671875" style="27" customWidth="1"/>
    <col min="15364" max="15364" width="43" style="27" customWidth="1"/>
    <col min="15365" max="15365" width="40" style="27" customWidth="1"/>
    <col min="15366" max="15366" width="9" style="27"/>
    <col min="15367" max="15367" width="40" style="27" customWidth="1"/>
    <col min="15368" max="15615" width="9" style="27"/>
    <col min="15616" max="15616" width="21.109375" style="27" customWidth="1"/>
    <col min="15617" max="15617" width="120.5546875" style="27" customWidth="1"/>
    <col min="15618" max="15619" width="11.88671875" style="27" customWidth="1"/>
    <col min="15620" max="15620" width="43" style="27" customWidth="1"/>
    <col min="15621" max="15621" width="40" style="27" customWidth="1"/>
    <col min="15622" max="15622" width="9" style="27"/>
    <col min="15623" max="15623" width="40" style="27" customWidth="1"/>
    <col min="15624" max="15871" width="9" style="27"/>
    <col min="15872" max="15872" width="21.109375" style="27" customWidth="1"/>
    <col min="15873" max="15873" width="120.5546875" style="27" customWidth="1"/>
    <col min="15874" max="15875" width="11.88671875" style="27" customWidth="1"/>
    <col min="15876" max="15876" width="43" style="27" customWidth="1"/>
    <col min="15877" max="15877" width="40" style="27" customWidth="1"/>
    <col min="15878" max="15878" width="9" style="27"/>
    <col min="15879" max="15879" width="40" style="27" customWidth="1"/>
    <col min="15880" max="16127" width="9" style="27"/>
    <col min="16128" max="16128" width="21.109375" style="27" customWidth="1"/>
    <col min="16129" max="16129" width="120.5546875" style="27" customWidth="1"/>
    <col min="16130" max="16131" width="11.88671875" style="27" customWidth="1"/>
    <col min="16132" max="16132" width="43" style="27" customWidth="1"/>
    <col min="16133" max="16133" width="40" style="27" customWidth="1"/>
    <col min="16134" max="16134" width="9" style="27"/>
    <col min="16135" max="16135" width="40" style="27" customWidth="1"/>
    <col min="16136" max="16382" width="9" style="27"/>
    <col min="16383" max="16384" width="9" style="27" customWidth="1"/>
  </cols>
  <sheetData>
    <row r="1" spans="1:8" s="16" customFormat="1" ht="69" customHeight="1">
      <c r="A1" s="211" t="s">
        <v>10</v>
      </c>
      <c r="B1" s="313" t="s">
        <v>571</v>
      </c>
      <c r="C1" s="314"/>
      <c r="D1" s="314"/>
      <c r="E1" s="314"/>
      <c r="F1" s="314"/>
      <c r="G1" s="315"/>
      <c r="H1" s="2"/>
    </row>
    <row r="2" spans="1:8" s="17" customFormat="1" ht="40.5" customHeight="1">
      <c r="A2" s="316" t="s">
        <v>590</v>
      </c>
      <c r="B2" s="316"/>
      <c r="C2" s="316"/>
      <c r="D2" s="316"/>
      <c r="E2" s="316"/>
      <c r="F2" s="316"/>
      <c r="G2" s="316"/>
      <c r="H2" s="316"/>
    </row>
    <row r="3" spans="1:8" s="18" customFormat="1" ht="18" customHeight="1">
      <c r="A3" s="317" t="s">
        <v>527</v>
      </c>
      <c r="B3" s="317"/>
      <c r="C3" s="317"/>
      <c r="D3" s="317"/>
      <c r="E3" s="317"/>
      <c r="F3" s="317"/>
      <c r="G3" s="317"/>
      <c r="H3" s="317"/>
    </row>
    <row r="4" spans="1:8" s="29" customFormat="1" ht="18" customHeight="1">
      <c r="A4" s="317" t="s">
        <v>0</v>
      </c>
      <c r="B4" s="317"/>
      <c r="C4" s="317"/>
      <c r="D4" s="317"/>
      <c r="E4" s="317"/>
      <c r="F4" s="317"/>
      <c r="G4" s="317"/>
      <c r="H4" s="317"/>
    </row>
    <row r="5" spans="1:8" s="19" customFormat="1" ht="160.94999999999999" customHeight="1">
      <c r="A5" s="169" t="s">
        <v>1</v>
      </c>
      <c r="B5" s="169" t="s">
        <v>2</v>
      </c>
      <c r="C5" s="169" t="s">
        <v>3</v>
      </c>
      <c r="D5" s="114" t="s">
        <v>14</v>
      </c>
      <c r="E5" s="141" t="s">
        <v>478</v>
      </c>
      <c r="F5" s="237" t="s">
        <v>478</v>
      </c>
      <c r="G5" s="95" t="s">
        <v>479</v>
      </c>
      <c r="H5" s="212"/>
    </row>
    <row r="6" spans="1:8" s="20" customFormat="1" ht="30.6" customHeight="1">
      <c r="A6" s="223"/>
      <c r="B6" s="223"/>
      <c r="C6" s="113" t="s">
        <v>4</v>
      </c>
      <c r="D6" s="114" t="s">
        <v>5</v>
      </c>
      <c r="E6" s="98" t="s">
        <v>6</v>
      </c>
      <c r="F6" s="98" t="s">
        <v>6</v>
      </c>
      <c r="G6" s="92" t="s">
        <v>7</v>
      </c>
      <c r="H6" s="213"/>
    </row>
    <row r="7" spans="1:8" s="21" customFormat="1" ht="30" customHeight="1">
      <c r="A7" s="217" t="s">
        <v>221</v>
      </c>
      <c r="B7" s="218" t="s">
        <v>219</v>
      </c>
      <c r="C7" s="214"/>
      <c r="D7" s="181"/>
      <c r="E7" s="215"/>
      <c r="F7" s="215"/>
      <c r="G7" s="216">
        <f t="shared" ref="G7:G9" si="0">F7*D7</f>
        <v>0</v>
      </c>
      <c r="H7" s="213"/>
    </row>
    <row r="8" spans="1:8" s="21" customFormat="1" ht="31.5" customHeight="1">
      <c r="A8" s="220" t="s">
        <v>222</v>
      </c>
      <c r="B8" s="219" t="s">
        <v>218</v>
      </c>
      <c r="C8" s="214" t="s">
        <v>8</v>
      </c>
      <c r="D8" s="181">
        <v>1</v>
      </c>
      <c r="E8" s="215">
        <f>25231.25-(25231*0.55/100)</f>
        <v>25092.479500000001</v>
      </c>
      <c r="F8" s="215">
        <f t="shared" ref="F8" si="1">E8*1.1</f>
        <v>27601.727450000002</v>
      </c>
      <c r="G8" s="216">
        <f t="shared" si="0"/>
        <v>27601.727450000002</v>
      </c>
      <c r="H8" s="213"/>
    </row>
    <row r="9" spans="1:8" s="23" customFormat="1" ht="72" customHeight="1">
      <c r="A9" s="310" t="s">
        <v>203</v>
      </c>
      <c r="B9" s="310"/>
      <c r="C9" s="221"/>
      <c r="D9" s="181"/>
      <c r="E9" s="215"/>
      <c r="F9" s="215"/>
      <c r="G9" s="216">
        <f t="shared" si="0"/>
        <v>0</v>
      </c>
      <c r="H9" s="222"/>
    </row>
    <row r="10" spans="1:8" s="22" customFormat="1" ht="43.5" customHeight="1">
      <c r="A10" s="311" t="s">
        <v>15</v>
      </c>
      <c r="B10" s="311"/>
      <c r="C10" s="312"/>
      <c r="D10" s="312"/>
      <c r="E10" s="224"/>
      <c r="F10" s="224"/>
      <c r="G10" s="225">
        <f>ROUND(SUM(G7:G9),2)</f>
        <v>27601.73</v>
      </c>
      <c r="H10" s="159"/>
    </row>
    <row r="11" spans="1:8" ht="27.75" customHeight="1">
      <c r="E11" s="26"/>
      <c r="F11" s="26"/>
      <c r="G11" s="73"/>
    </row>
    <row r="12" spans="1:8" ht="28.5" customHeight="1">
      <c r="E12" s="26"/>
      <c r="F12" s="26"/>
      <c r="G12" s="73"/>
    </row>
    <row r="13" spans="1:8" ht="24.75" customHeight="1">
      <c r="E13" s="26"/>
      <c r="F13" s="26"/>
      <c r="G13" s="73"/>
    </row>
    <row r="14" spans="1:8">
      <c r="E14" s="26"/>
      <c r="F14" s="26"/>
      <c r="G14" s="73"/>
    </row>
    <row r="15" spans="1:8">
      <c r="E15" s="26"/>
      <c r="F15" s="26"/>
      <c r="G15" s="73"/>
    </row>
    <row r="16" spans="1:8">
      <c r="E16" s="26"/>
      <c r="F16" s="26"/>
      <c r="G16" s="73"/>
    </row>
    <row r="17" spans="5:7">
      <c r="E17" s="26"/>
      <c r="F17" s="26"/>
      <c r="G17" s="73"/>
    </row>
    <row r="18" spans="5:7">
      <c r="E18" s="26"/>
      <c r="F18" s="26"/>
      <c r="G18" s="73"/>
    </row>
  </sheetData>
  <sheetProtection password="CEE5" sheet="1" objects="1" scenarios="1" formatCells="0" formatColumns="0" formatRows="0"/>
  <autoFilter ref="D1:D18">
    <filterColumn colId="0"/>
  </autoFilter>
  <mergeCells count="7">
    <mergeCell ref="A9:B9"/>
    <mergeCell ref="A10:B10"/>
    <mergeCell ref="C10:D10"/>
    <mergeCell ref="B1:G1"/>
    <mergeCell ref="A2:H2"/>
    <mergeCell ref="A3:H3"/>
    <mergeCell ref="A4:H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drawing r:id="rId2"/>
</worksheet>
</file>

<file path=xl/worksheets/sheet5.xml><?xml version="1.0" encoding="utf-8"?>
<worksheet xmlns="http://schemas.openxmlformats.org/spreadsheetml/2006/main" xmlns:r="http://schemas.openxmlformats.org/officeDocument/2006/relationships">
  <sheetPr filterMode="1">
    <tabColor rgb="FF92D050"/>
  </sheetPr>
  <dimension ref="A1:H150"/>
  <sheetViews>
    <sheetView view="pageBreakPreview" topLeftCell="A146" zoomScale="70" zoomScaleNormal="70" zoomScaleSheetLayoutView="70" workbookViewId="0">
      <selection activeCell="H152" sqref="H152"/>
    </sheetView>
  </sheetViews>
  <sheetFormatPr defaultRowHeight="13.2"/>
  <cols>
    <col min="1" max="1" width="21.33203125" style="41" customWidth="1"/>
    <col min="2" max="2" width="100.6640625" style="42" customWidth="1"/>
    <col min="3" max="3" width="9.33203125" style="41" customWidth="1"/>
    <col min="4" max="4" width="8.109375" style="65" customWidth="1"/>
    <col min="5" max="5" width="35.109375" style="78" hidden="1" customWidth="1"/>
    <col min="6" max="6" width="35.109375" style="78" customWidth="1"/>
    <col min="7" max="7" width="37.33203125" style="80" customWidth="1"/>
    <col min="8" max="8" width="21.6640625" style="43" customWidth="1"/>
    <col min="9" max="10" width="4.88671875" style="43" customWidth="1"/>
    <col min="11" max="11" width="6.33203125" style="43" bestFit="1" customWidth="1"/>
    <col min="12" max="12" width="12" style="43" bestFit="1" customWidth="1"/>
    <col min="13" max="13" width="4.88671875" style="43" customWidth="1"/>
    <col min="14" max="14" width="8.6640625" style="43" bestFit="1" customWidth="1"/>
    <col min="15" max="256" width="9.109375" style="43"/>
    <col min="257" max="257" width="20" style="43" customWidth="1"/>
    <col min="258" max="258" width="104.109375" style="43" customWidth="1"/>
    <col min="259" max="259" width="9.6640625" style="43" customWidth="1"/>
    <col min="260" max="260" width="10.5546875" style="43" customWidth="1"/>
    <col min="261" max="261" width="36.88671875" style="43" customWidth="1"/>
    <col min="262" max="262" width="37.33203125" style="43" customWidth="1"/>
    <col min="263" max="263" width="5.109375" style="43" bestFit="1" customWidth="1"/>
    <col min="264" max="264" width="14.6640625" style="43" customWidth="1"/>
    <col min="265" max="266" width="4.88671875" style="43" customWidth="1"/>
    <col min="267" max="267" width="6.33203125" style="43" bestFit="1" customWidth="1"/>
    <col min="268" max="268" width="12" style="43" bestFit="1" customWidth="1"/>
    <col min="269" max="269" width="4.88671875" style="43" customWidth="1"/>
    <col min="270" max="270" width="8.6640625" style="43" bestFit="1" customWidth="1"/>
    <col min="271" max="512" width="9.109375" style="43"/>
    <col min="513" max="513" width="20" style="43" customWidth="1"/>
    <col min="514" max="514" width="104.109375" style="43" customWidth="1"/>
    <col min="515" max="515" width="9.6640625" style="43" customWidth="1"/>
    <col min="516" max="516" width="10.5546875" style="43" customWidth="1"/>
    <col min="517" max="517" width="36.88671875" style="43" customWidth="1"/>
    <col min="518" max="518" width="37.33203125" style="43" customWidth="1"/>
    <col min="519" max="519" width="5.109375" style="43" bestFit="1" customWidth="1"/>
    <col min="520" max="520" width="14.6640625" style="43" customWidth="1"/>
    <col min="521" max="522" width="4.88671875" style="43" customWidth="1"/>
    <col min="523" max="523" width="6.33203125" style="43" bestFit="1" customWidth="1"/>
    <col min="524" max="524" width="12" style="43" bestFit="1" customWidth="1"/>
    <col min="525" max="525" width="4.88671875" style="43" customWidth="1"/>
    <col min="526" max="526" width="8.6640625" style="43" bestFit="1" customWidth="1"/>
    <col min="527" max="768" width="9.109375" style="43"/>
    <col min="769" max="769" width="20" style="43" customWidth="1"/>
    <col min="770" max="770" width="104.109375" style="43" customWidth="1"/>
    <col min="771" max="771" width="9.6640625" style="43" customWidth="1"/>
    <col min="772" max="772" width="10.5546875" style="43" customWidth="1"/>
    <col min="773" max="773" width="36.88671875" style="43" customWidth="1"/>
    <col min="774" max="774" width="37.33203125" style="43" customWidth="1"/>
    <col min="775" max="775" width="5.109375" style="43" bestFit="1" customWidth="1"/>
    <col min="776" max="776" width="14.6640625" style="43" customWidth="1"/>
    <col min="777" max="778" width="4.88671875" style="43" customWidth="1"/>
    <col min="779" max="779" width="6.33203125" style="43" bestFit="1" customWidth="1"/>
    <col min="780" max="780" width="12" style="43" bestFit="1" customWidth="1"/>
    <col min="781" max="781" width="4.88671875" style="43" customWidth="1"/>
    <col min="782" max="782" width="8.6640625" style="43" bestFit="1" customWidth="1"/>
    <col min="783" max="1024" width="9.109375" style="43"/>
    <col min="1025" max="1025" width="20" style="43" customWidth="1"/>
    <col min="1026" max="1026" width="104.109375" style="43" customWidth="1"/>
    <col min="1027" max="1027" width="9.6640625" style="43" customWidth="1"/>
    <col min="1028" max="1028" width="10.5546875" style="43" customWidth="1"/>
    <col min="1029" max="1029" width="36.88671875" style="43" customWidth="1"/>
    <col min="1030" max="1030" width="37.33203125" style="43" customWidth="1"/>
    <col min="1031" max="1031" width="5.109375" style="43" bestFit="1" customWidth="1"/>
    <col min="1032" max="1032" width="14.6640625" style="43" customWidth="1"/>
    <col min="1033" max="1034" width="4.88671875" style="43" customWidth="1"/>
    <col min="1035" max="1035" width="6.33203125" style="43" bestFit="1" customWidth="1"/>
    <col min="1036" max="1036" width="12" style="43" bestFit="1" customWidth="1"/>
    <col min="1037" max="1037" width="4.88671875" style="43" customWidth="1"/>
    <col min="1038" max="1038" width="8.6640625" style="43" bestFit="1" customWidth="1"/>
    <col min="1039" max="1280" width="9.109375" style="43"/>
    <col min="1281" max="1281" width="20" style="43" customWidth="1"/>
    <col min="1282" max="1282" width="104.109375" style="43" customWidth="1"/>
    <col min="1283" max="1283" width="9.6640625" style="43" customWidth="1"/>
    <col min="1284" max="1284" width="10.5546875" style="43" customWidth="1"/>
    <col min="1285" max="1285" width="36.88671875" style="43" customWidth="1"/>
    <col min="1286" max="1286" width="37.33203125" style="43" customWidth="1"/>
    <col min="1287" max="1287" width="5.109375" style="43" bestFit="1" customWidth="1"/>
    <col min="1288" max="1288" width="14.6640625" style="43" customWidth="1"/>
    <col min="1289" max="1290" width="4.88671875" style="43" customWidth="1"/>
    <col min="1291" max="1291" width="6.33203125" style="43" bestFit="1" customWidth="1"/>
    <col min="1292" max="1292" width="12" style="43" bestFit="1" customWidth="1"/>
    <col min="1293" max="1293" width="4.88671875" style="43" customWidth="1"/>
    <col min="1294" max="1294" width="8.6640625" style="43" bestFit="1" customWidth="1"/>
    <col min="1295" max="1536" width="9.109375" style="43"/>
    <col min="1537" max="1537" width="20" style="43" customWidth="1"/>
    <col min="1538" max="1538" width="104.109375" style="43" customWidth="1"/>
    <col min="1539" max="1539" width="9.6640625" style="43" customWidth="1"/>
    <col min="1540" max="1540" width="10.5546875" style="43" customWidth="1"/>
    <col min="1541" max="1541" width="36.88671875" style="43" customWidth="1"/>
    <col min="1542" max="1542" width="37.33203125" style="43" customWidth="1"/>
    <col min="1543" max="1543" width="5.109375" style="43" bestFit="1" customWidth="1"/>
    <col min="1544" max="1544" width="14.6640625" style="43" customWidth="1"/>
    <col min="1545" max="1546" width="4.88671875" style="43" customWidth="1"/>
    <col min="1547" max="1547" width="6.33203125" style="43" bestFit="1" customWidth="1"/>
    <col min="1548" max="1548" width="12" style="43" bestFit="1" customWidth="1"/>
    <col min="1549" max="1549" width="4.88671875" style="43" customWidth="1"/>
    <col min="1550" max="1550" width="8.6640625" style="43" bestFit="1" customWidth="1"/>
    <col min="1551" max="1792" width="9.109375" style="43"/>
    <col min="1793" max="1793" width="20" style="43" customWidth="1"/>
    <col min="1794" max="1794" width="104.109375" style="43" customWidth="1"/>
    <col min="1795" max="1795" width="9.6640625" style="43" customWidth="1"/>
    <col min="1796" max="1796" width="10.5546875" style="43" customWidth="1"/>
    <col min="1797" max="1797" width="36.88671875" style="43" customWidth="1"/>
    <col min="1798" max="1798" width="37.33203125" style="43" customWidth="1"/>
    <col min="1799" max="1799" width="5.109375" style="43" bestFit="1" customWidth="1"/>
    <col min="1800" max="1800" width="14.6640625" style="43" customWidth="1"/>
    <col min="1801" max="1802" width="4.88671875" style="43" customWidth="1"/>
    <col min="1803" max="1803" width="6.33203125" style="43" bestFit="1" customWidth="1"/>
    <col min="1804" max="1804" width="12" style="43" bestFit="1" customWidth="1"/>
    <col min="1805" max="1805" width="4.88671875" style="43" customWidth="1"/>
    <col min="1806" max="1806" width="8.6640625" style="43" bestFit="1" customWidth="1"/>
    <col min="1807" max="2048" width="9.109375" style="43"/>
    <col min="2049" max="2049" width="20" style="43" customWidth="1"/>
    <col min="2050" max="2050" width="104.109375" style="43" customWidth="1"/>
    <col min="2051" max="2051" width="9.6640625" style="43" customWidth="1"/>
    <col min="2052" max="2052" width="10.5546875" style="43" customWidth="1"/>
    <col min="2053" max="2053" width="36.88671875" style="43" customWidth="1"/>
    <col min="2054" max="2054" width="37.33203125" style="43" customWidth="1"/>
    <col min="2055" max="2055" width="5.109375" style="43" bestFit="1" customWidth="1"/>
    <col min="2056" max="2056" width="14.6640625" style="43" customWidth="1"/>
    <col min="2057" max="2058" width="4.88671875" style="43" customWidth="1"/>
    <col min="2059" max="2059" width="6.33203125" style="43" bestFit="1" customWidth="1"/>
    <col min="2060" max="2060" width="12" style="43" bestFit="1" customWidth="1"/>
    <col min="2061" max="2061" width="4.88671875" style="43" customWidth="1"/>
    <col min="2062" max="2062" width="8.6640625" style="43" bestFit="1" customWidth="1"/>
    <col min="2063" max="2304" width="9.109375" style="43"/>
    <col min="2305" max="2305" width="20" style="43" customWidth="1"/>
    <col min="2306" max="2306" width="104.109375" style="43" customWidth="1"/>
    <col min="2307" max="2307" width="9.6640625" style="43" customWidth="1"/>
    <col min="2308" max="2308" width="10.5546875" style="43" customWidth="1"/>
    <col min="2309" max="2309" width="36.88671875" style="43" customWidth="1"/>
    <col min="2310" max="2310" width="37.33203125" style="43" customWidth="1"/>
    <col min="2311" max="2311" width="5.109375" style="43" bestFit="1" customWidth="1"/>
    <col min="2312" max="2312" width="14.6640625" style="43" customWidth="1"/>
    <col min="2313" max="2314" width="4.88671875" style="43" customWidth="1"/>
    <col min="2315" max="2315" width="6.33203125" style="43" bestFit="1" customWidth="1"/>
    <col min="2316" max="2316" width="12" style="43" bestFit="1" customWidth="1"/>
    <col min="2317" max="2317" width="4.88671875" style="43" customWidth="1"/>
    <col min="2318" max="2318" width="8.6640625" style="43" bestFit="1" customWidth="1"/>
    <col min="2319" max="2560" width="9.109375" style="43"/>
    <col min="2561" max="2561" width="20" style="43" customWidth="1"/>
    <col min="2562" max="2562" width="104.109375" style="43" customWidth="1"/>
    <col min="2563" max="2563" width="9.6640625" style="43" customWidth="1"/>
    <col min="2564" max="2564" width="10.5546875" style="43" customWidth="1"/>
    <col min="2565" max="2565" width="36.88671875" style="43" customWidth="1"/>
    <col min="2566" max="2566" width="37.33203125" style="43" customWidth="1"/>
    <col min="2567" max="2567" width="5.109375" style="43" bestFit="1" customWidth="1"/>
    <col min="2568" max="2568" width="14.6640625" style="43" customWidth="1"/>
    <col min="2569" max="2570" width="4.88671875" style="43" customWidth="1"/>
    <col min="2571" max="2571" width="6.33203125" style="43" bestFit="1" customWidth="1"/>
    <col min="2572" max="2572" width="12" style="43" bestFit="1" customWidth="1"/>
    <col min="2573" max="2573" width="4.88671875" style="43" customWidth="1"/>
    <col min="2574" max="2574" width="8.6640625" style="43" bestFit="1" customWidth="1"/>
    <col min="2575" max="2816" width="9.109375" style="43"/>
    <col min="2817" max="2817" width="20" style="43" customWidth="1"/>
    <col min="2818" max="2818" width="104.109375" style="43" customWidth="1"/>
    <col min="2819" max="2819" width="9.6640625" style="43" customWidth="1"/>
    <col min="2820" max="2820" width="10.5546875" style="43" customWidth="1"/>
    <col min="2821" max="2821" width="36.88671875" style="43" customWidth="1"/>
    <col min="2822" max="2822" width="37.33203125" style="43" customWidth="1"/>
    <col min="2823" max="2823" width="5.109375" style="43" bestFit="1" customWidth="1"/>
    <col min="2824" max="2824" width="14.6640625" style="43" customWidth="1"/>
    <col min="2825" max="2826" width="4.88671875" style="43" customWidth="1"/>
    <col min="2827" max="2827" width="6.33203125" style="43" bestFit="1" customWidth="1"/>
    <col min="2828" max="2828" width="12" style="43" bestFit="1" customWidth="1"/>
    <col min="2829" max="2829" width="4.88671875" style="43" customWidth="1"/>
    <col min="2830" max="2830" width="8.6640625" style="43" bestFit="1" customWidth="1"/>
    <col min="2831" max="3072" width="9.109375" style="43"/>
    <col min="3073" max="3073" width="20" style="43" customWidth="1"/>
    <col min="3074" max="3074" width="104.109375" style="43" customWidth="1"/>
    <col min="3075" max="3075" width="9.6640625" style="43" customWidth="1"/>
    <col min="3076" max="3076" width="10.5546875" style="43" customWidth="1"/>
    <col min="3077" max="3077" width="36.88671875" style="43" customWidth="1"/>
    <col min="3078" max="3078" width="37.33203125" style="43" customWidth="1"/>
    <col min="3079" max="3079" width="5.109375" style="43" bestFit="1" customWidth="1"/>
    <col min="3080" max="3080" width="14.6640625" style="43" customWidth="1"/>
    <col min="3081" max="3082" width="4.88671875" style="43" customWidth="1"/>
    <col min="3083" max="3083" width="6.33203125" style="43" bestFit="1" customWidth="1"/>
    <col min="3084" max="3084" width="12" style="43" bestFit="1" customWidth="1"/>
    <col min="3085" max="3085" width="4.88671875" style="43" customWidth="1"/>
    <col min="3086" max="3086" width="8.6640625" style="43" bestFit="1" customWidth="1"/>
    <col min="3087" max="3328" width="9.109375" style="43"/>
    <col min="3329" max="3329" width="20" style="43" customWidth="1"/>
    <col min="3330" max="3330" width="104.109375" style="43" customWidth="1"/>
    <col min="3331" max="3331" width="9.6640625" style="43" customWidth="1"/>
    <col min="3332" max="3332" width="10.5546875" style="43" customWidth="1"/>
    <col min="3333" max="3333" width="36.88671875" style="43" customWidth="1"/>
    <col min="3334" max="3334" width="37.33203125" style="43" customWidth="1"/>
    <col min="3335" max="3335" width="5.109375" style="43" bestFit="1" customWidth="1"/>
    <col min="3336" max="3336" width="14.6640625" style="43" customWidth="1"/>
    <col min="3337" max="3338" width="4.88671875" style="43" customWidth="1"/>
    <col min="3339" max="3339" width="6.33203125" style="43" bestFit="1" customWidth="1"/>
    <col min="3340" max="3340" width="12" style="43" bestFit="1" customWidth="1"/>
    <col min="3341" max="3341" width="4.88671875" style="43" customWidth="1"/>
    <col min="3342" max="3342" width="8.6640625" style="43" bestFit="1" customWidth="1"/>
    <col min="3343" max="3584" width="9.109375" style="43"/>
    <col min="3585" max="3585" width="20" style="43" customWidth="1"/>
    <col min="3586" max="3586" width="104.109375" style="43" customWidth="1"/>
    <col min="3587" max="3587" width="9.6640625" style="43" customWidth="1"/>
    <col min="3588" max="3588" width="10.5546875" style="43" customWidth="1"/>
    <col min="3589" max="3589" width="36.88671875" style="43" customWidth="1"/>
    <col min="3590" max="3590" width="37.33203125" style="43" customWidth="1"/>
    <col min="3591" max="3591" width="5.109375" style="43" bestFit="1" customWidth="1"/>
    <col min="3592" max="3592" width="14.6640625" style="43" customWidth="1"/>
    <col min="3593" max="3594" width="4.88671875" style="43" customWidth="1"/>
    <col min="3595" max="3595" width="6.33203125" style="43" bestFit="1" customWidth="1"/>
    <col min="3596" max="3596" width="12" style="43" bestFit="1" customWidth="1"/>
    <col min="3597" max="3597" width="4.88671875" style="43" customWidth="1"/>
    <col min="3598" max="3598" width="8.6640625" style="43" bestFit="1" customWidth="1"/>
    <col min="3599" max="3840" width="9.109375" style="43"/>
    <col min="3841" max="3841" width="20" style="43" customWidth="1"/>
    <col min="3842" max="3842" width="104.109375" style="43" customWidth="1"/>
    <col min="3843" max="3843" width="9.6640625" style="43" customWidth="1"/>
    <col min="3844" max="3844" width="10.5546875" style="43" customWidth="1"/>
    <col min="3845" max="3845" width="36.88671875" style="43" customWidth="1"/>
    <col min="3846" max="3846" width="37.33203125" style="43" customWidth="1"/>
    <col min="3847" max="3847" width="5.109375" style="43" bestFit="1" customWidth="1"/>
    <col min="3848" max="3848" width="14.6640625" style="43" customWidth="1"/>
    <col min="3849" max="3850" width="4.88671875" style="43" customWidth="1"/>
    <col min="3851" max="3851" width="6.33203125" style="43" bestFit="1" customWidth="1"/>
    <col min="3852" max="3852" width="12" style="43" bestFit="1" customWidth="1"/>
    <col min="3853" max="3853" width="4.88671875" style="43" customWidth="1"/>
    <col min="3854" max="3854" width="8.6640625" style="43" bestFit="1" customWidth="1"/>
    <col min="3855" max="4096" width="9.109375" style="43"/>
    <col min="4097" max="4097" width="20" style="43" customWidth="1"/>
    <col min="4098" max="4098" width="104.109375" style="43" customWidth="1"/>
    <col min="4099" max="4099" width="9.6640625" style="43" customWidth="1"/>
    <col min="4100" max="4100" width="10.5546875" style="43" customWidth="1"/>
    <col min="4101" max="4101" width="36.88671875" style="43" customWidth="1"/>
    <col min="4102" max="4102" width="37.33203125" style="43" customWidth="1"/>
    <col min="4103" max="4103" width="5.109375" style="43" bestFit="1" customWidth="1"/>
    <col min="4104" max="4104" width="14.6640625" style="43" customWidth="1"/>
    <col min="4105" max="4106" width="4.88671875" style="43" customWidth="1"/>
    <col min="4107" max="4107" width="6.33203125" style="43" bestFit="1" customWidth="1"/>
    <col min="4108" max="4108" width="12" style="43" bestFit="1" customWidth="1"/>
    <col min="4109" max="4109" width="4.88671875" style="43" customWidth="1"/>
    <col min="4110" max="4110" width="8.6640625" style="43" bestFit="1" customWidth="1"/>
    <col min="4111" max="4352" width="9.109375" style="43"/>
    <col min="4353" max="4353" width="20" style="43" customWidth="1"/>
    <col min="4354" max="4354" width="104.109375" style="43" customWidth="1"/>
    <col min="4355" max="4355" width="9.6640625" style="43" customWidth="1"/>
    <col min="4356" max="4356" width="10.5546875" style="43" customWidth="1"/>
    <col min="4357" max="4357" width="36.88671875" style="43" customWidth="1"/>
    <col min="4358" max="4358" width="37.33203125" style="43" customWidth="1"/>
    <col min="4359" max="4359" width="5.109375" style="43" bestFit="1" customWidth="1"/>
    <col min="4360" max="4360" width="14.6640625" style="43" customWidth="1"/>
    <col min="4361" max="4362" width="4.88671875" style="43" customWidth="1"/>
    <col min="4363" max="4363" width="6.33203125" style="43" bestFit="1" customWidth="1"/>
    <col min="4364" max="4364" width="12" style="43" bestFit="1" customWidth="1"/>
    <col min="4365" max="4365" width="4.88671875" style="43" customWidth="1"/>
    <col min="4366" max="4366" width="8.6640625" style="43" bestFit="1" customWidth="1"/>
    <col min="4367" max="4608" width="9.109375" style="43"/>
    <col min="4609" max="4609" width="20" style="43" customWidth="1"/>
    <col min="4610" max="4610" width="104.109375" style="43" customWidth="1"/>
    <col min="4611" max="4611" width="9.6640625" style="43" customWidth="1"/>
    <col min="4612" max="4612" width="10.5546875" style="43" customWidth="1"/>
    <col min="4613" max="4613" width="36.88671875" style="43" customWidth="1"/>
    <col min="4614" max="4614" width="37.33203125" style="43" customWidth="1"/>
    <col min="4615" max="4615" width="5.109375" style="43" bestFit="1" customWidth="1"/>
    <col min="4616" max="4616" width="14.6640625" style="43" customWidth="1"/>
    <col min="4617" max="4618" width="4.88671875" style="43" customWidth="1"/>
    <col min="4619" max="4619" width="6.33203125" style="43" bestFit="1" customWidth="1"/>
    <col min="4620" max="4620" width="12" style="43" bestFit="1" customWidth="1"/>
    <col min="4621" max="4621" width="4.88671875" style="43" customWidth="1"/>
    <col min="4622" max="4622" width="8.6640625" style="43" bestFit="1" customWidth="1"/>
    <col min="4623" max="4864" width="9.109375" style="43"/>
    <col min="4865" max="4865" width="20" style="43" customWidth="1"/>
    <col min="4866" max="4866" width="104.109375" style="43" customWidth="1"/>
    <col min="4867" max="4867" width="9.6640625" style="43" customWidth="1"/>
    <col min="4868" max="4868" width="10.5546875" style="43" customWidth="1"/>
    <col min="4869" max="4869" width="36.88671875" style="43" customWidth="1"/>
    <col min="4870" max="4870" width="37.33203125" style="43" customWidth="1"/>
    <col min="4871" max="4871" width="5.109375" style="43" bestFit="1" customWidth="1"/>
    <col min="4872" max="4872" width="14.6640625" style="43" customWidth="1"/>
    <col min="4873" max="4874" width="4.88671875" style="43" customWidth="1"/>
    <col min="4875" max="4875" width="6.33203125" style="43" bestFit="1" customWidth="1"/>
    <col min="4876" max="4876" width="12" style="43" bestFit="1" customWidth="1"/>
    <col min="4877" max="4877" width="4.88671875" style="43" customWidth="1"/>
    <col min="4878" max="4878" width="8.6640625" style="43" bestFit="1" customWidth="1"/>
    <col min="4879" max="5120" width="9.109375" style="43"/>
    <col min="5121" max="5121" width="20" style="43" customWidth="1"/>
    <col min="5122" max="5122" width="104.109375" style="43" customWidth="1"/>
    <col min="5123" max="5123" width="9.6640625" style="43" customWidth="1"/>
    <col min="5124" max="5124" width="10.5546875" style="43" customWidth="1"/>
    <col min="5125" max="5125" width="36.88671875" style="43" customWidth="1"/>
    <col min="5126" max="5126" width="37.33203125" style="43" customWidth="1"/>
    <col min="5127" max="5127" width="5.109375" style="43" bestFit="1" customWidth="1"/>
    <col min="5128" max="5128" width="14.6640625" style="43" customWidth="1"/>
    <col min="5129" max="5130" width="4.88671875" style="43" customWidth="1"/>
    <col min="5131" max="5131" width="6.33203125" style="43" bestFit="1" customWidth="1"/>
    <col min="5132" max="5132" width="12" style="43" bestFit="1" customWidth="1"/>
    <col min="5133" max="5133" width="4.88671875" style="43" customWidth="1"/>
    <col min="5134" max="5134" width="8.6640625" style="43" bestFit="1" customWidth="1"/>
    <col min="5135" max="5376" width="9.109375" style="43"/>
    <col min="5377" max="5377" width="20" style="43" customWidth="1"/>
    <col min="5378" max="5378" width="104.109375" style="43" customWidth="1"/>
    <col min="5379" max="5379" width="9.6640625" style="43" customWidth="1"/>
    <col min="5380" max="5380" width="10.5546875" style="43" customWidth="1"/>
    <col min="5381" max="5381" width="36.88671875" style="43" customWidth="1"/>
    <col min="5382" max="5382" width="37.33203125" style="43" customWidth="1"/>
    <col min="5383" max="5383" width="5.109375" style="43" bestFit="1" customWidth="1"/>
    <col min="5384" max="5384" width="14.6640625" style="43" customWidth="1"/>
    <col min="5385" max="5386" width="4.88671875" style="43" customWidth="1"/>
    <col min="5387" max="5387" width="6.33203125" style="43" bestFit="1" customWidth="1"/>
    <col min="5388" max="5388" width="12" style="43" bestFit="1" customWidth="1"/>
    <col min="5389" max="5389" width="4.88671875" style="43" customWidth="1"/>
    <col min="5390" max="5390" width="8.6640625" style="43" bestFit="1" customWidth="1"/>
    <col min="5391" max="5632" width="9.109375" style="43"/>
    <col min="5633" max="5633" width="20" style="43" customWidth="1"/>
    <col min="5634" max="5634" width="104.109375" style="43" customWidth="1"/>
    <col min="5635" max="5635" width="9.6640625" style="43" customWidth="1"/>
    <col min="5636" max="5636" width="10.5546875" style="43" customWidth="1"/>
    <col min="5637" max="5637" width="36.88671875" style="43" customWidth="1"/>
    <col min="5638" max="5638" width="37.33203125" style="43" customWidth="1"/>
    <col min="5639" max="5639" width="5.109375" style="43" bestFit="1" customWidth="1"/>
    <col min="5640" max="5640" width="14.6640625" style="43" customWidth="1"/>
    <col min="5641" max="5642" width="4.88671875" style="43" customWidth="1"/>
    <col min="5643" max="5643" width="6.33203125" style="43" bestFit="1" customWidth="1"/>
    <col min="5644" max="5644" width="12" style="43" bestFit="1" customWidth="1"/>
    <col min="5645" max="5645" width="4.88671875" style="43" customWidth="1"/>
    <col min="5646" max="5646" width="8.6640625" style="43" bestFit="1" customWidth="1"/>
    <col min="5647" max="5888" width="9.109375" style="43"/>
    <col min="5889" max="5889" width="20" style="43" customWidth="1"/>
    <col min="5890" max="5890" width="104.109375" style="43" customWidth="1"/>
    <col min="5891" max="5891" width="9.6640625" style="43" customWidth="1"/>
    <col min="5892" max="5892" width="10.5546875" style="43" customWidth="1"/>
    <col min="5893" max="5893" width="36.88671875" style="43" customWidth="1"/>
    <col min="5894" max="5894" width="37.33203125" style="43" customWidth="1"/>
    <col min="5895" max="5895" width="5.109375" style="43" bestFit="1" customWidth="1"/>
    <col min="5896" max="5896" width="14.6640625" style="43" customWidth="1"/>
    <col min="5897" max="5898" width="4.88671875" style="43" customWidth="1"/>
    <col min="5899" max="5899" width="6.33203125" style="43" bestFit="1" customWidth="1"/>
    <col min="5900" max="5900" width="12" style="43" bestFit="1" customWidth="1"/>
    <col min="5901" max="5901" width="4.88671875" style="43" customWidth="1"/>
    <col min="5902" max="5902" width="8.6640625" style="43" bestFit="1" customWidth="1"/>
    <col min="5903" max="6144" width="9.109375" style="43"/>
    <col min="6145" max="6145" width="20" style="43" customWidth="1"/>
    <col min="6146" max="6146" width="104.109375" style="43" customWidth="1"/>
    <col min="6147" max="6147" width="9.6640625" style="43" customWidth="1"/>
    <col min="6148" max="6148" width="10.5546875" style="43" customWidth="1"/>
    <col min="6149" max="6149" width="36.88671875" style="43" customWidth="1"/>
    <col min="6150" max="6150" width="37.33203125" style="43" customWidth="1"/>
    <col min="6151" max="6151" width="5.109375" style="43" bestFit="1" customWidth="1"/>
    <col min="6152" max="6152" width="14.6640625" style="43" customWidth="1"/>
    <col min="6153" max="6154" width="4.88671875" style="43" customWidth="1"/>
    <col min="6155" max="6155" width="6.33203125" style="43" bestFit="1" customWidth="1"/>
    <col min="6156" max="6156" width="12" style="43" bestFit="1" customWidth="1"/>
    <col min="6157" max="6157" width="4.88671875" style="43" customWidth="1"/>
    <col min="6158" max="6158" width="8.6640625" style="43" bestFit="1" customWidth="1"/>
    <col min="6159" max="6400" width="9.109375" style="43"/>
    <col min="6401" max="6401" width="20" style="43" customWidth="1"/>
    <col min="6402" max="6402" width="104.109375" style="43" customWidth="1"/>
    <col min="6403" max="6403" width="9.6640625" style="43" customWidth="1"/>
    <col min="6404" max="6404" width="10.5546875" style="43" customWidth="1"/>
    <col min="6405" max="6405" width="36.88671875" style="43" customWidth="1"/>
    <col min="6406" max="6406" width="37.33203125" style="43" customWidth="1"/>
    <col min="6407" max="6407" width="5.109375" style="43" bestFit="1" customWidth="1"/>
    <col min="6408" max="6408" width="14.6640625" style="43" customWidth="1"/>
    <col min="6409" max="6410" width="4.88671875" style="43" customWidth="1"/>
    <col min="6411" max="6411" width="6.33203125" style="43" bestFit="1" customWidth="1"/>
    <col min="6412" max="6412" width="12" style="43" bestFit="1" customWidth="1"/>
    <col min="6413" max="6413" width="4.88671875" style="43" customWidth="1"/>
    <col min="6414" max="6414" width="8.6640625" style="43" bestFit="1" customWidth="1"/>
    <col min="6415" max="6656" width="9.109375" style="43"/>
    <col min="6657" max="6657" width="20" style="43" customWidth="1"/>
    <col min="6658" max="6658" width="104.109375" style="43" customWidth="1"/>
    <col min="6659" max="6659" width="9.6640625" style="43" customWidth="1"/>
    <col min="6660" max="6660" width="10.5546875" style="43" customWidth="1"/>
    <col min="6661" max="6661" width="36.88671875" style="43" customWidth="1"/>
    <col min="6662" max="6662" width="37.33203125" style="43" customWidth="1"/>
    <col min="6663" max="6663" width="5.109375" style="43" bestFit="1" customWidth="1"/>
    <col min="6664" max="6664" width="14.6640625" style="43" customWidth="1"/>
    <col min="6665" max="6666" width="4.88671875" style="43" customWidth="1"/>
    <col min="6667" max="6667" width="6.33203125" style="43" bestFit="1" customWidth="1"/>
    <col min="6668" max="6668" width="12" style="43" bestFit="1" customWidth="1"/>
    <col min="6669" max="6669" width="4.88671875" style="43" customWidth="1"/>
    <col min="6670" max="6670" width="8.6640625" style="43" bestFit="1" customWidth="1"/>
    <col min="6671" max="6912" width="9.109375" style="43"/>
    <col min="6913" max="6913" width="20" style="43" customWidth="1"/>
    <col min="6914" max="6914" width="104.109375" style="43" customWidth="1"/>
    <col min="6915" max="6915" width="9.6640625" style="43" customWidth="1"/>
    <col min="6916" max="6916" width="10.5546875" style="43" customWidth="1"/>
    <col min="6917" max="6917" width="36.88671875" style="43" customWidth="1"/>
    <col min="6918" max="6918" width="37.33203125" style="43" customWidth="1"/>
    <col min="6919" max="6919" width="5.109375" style="43" bestFit="1" customWidth="1"/>
    <col min="6920" max="6920" width="14.6640625" style="43" customWidth="1"/>
    <col min="6921" max="6922" width="4.88671875" style="43" customWidth="1"/>
    <col min="6923" max="6923" width="6.33203125" style="43" bestFit="1" customWidth="1"/>
    <col min="6924" max="6924" width="12" style="43" bestFit="1" customWidth="1"/>
    <col min="6925" max="6925" width="4.88671875" style="43" customWidth="1"/>
    <col min="6926" max="6926" width="8.6640625" style="43" bestFit="1" customWidth="1"/>
    <col min="6927" max="7168" width="9.109375" style="43"/>
    <col min="7169" max="7169" width="20" style="43" customWidth="1"/>
    <col min="7170" max="7170" width="104.109375" style="43" customWidth="1"/>
    <col min="7171" max="7171" width="9.6640625" style="43" customWidth="1"/>
    <col min="7172" max="7172" width="10.5546875" style="43" customWidth="1"/>
    <col min="7173" max="7173" width="36.88671875" style="43" customWidth="1"/>
    <col min="7174" max="7174" width="37.33203125" style="43" customWidth="1"/>
    <col min="7175" max="7175" width="5.109375" style="43" bestFit="1" customWidth="1"/>
    <col min="7176" max="7176" width="14.6640625" style="43" customWidth="1"/>
    <col min="7177" max="7178" width="4.88671875" style="43" customWidth="1"/>
    <col min="7179" max="7179" width="6.33203125" style="43" bestFit="1" customWidth="1"/>
    <col min="7180" max="7180" width="12" style="43" bestFit="1" customWidth="1"/>
    <col min="7181" max="7181" width="4.88671875" style="43" customWidth="1"/>
    <col min="7182" max="7182" width="8.6640625" style="43" bestFit="1" customWidth="1"/>
    <col min="7183" max="7424" width="9.109375" style="43"/>
    <col min="7425" max="7425" width="20" style="43" customWidth="1"/>
    <col min="7426" max="7426" width="104.109375" style="43" customWidth="1"/>
    <col min="7427" max="7427" width="9.6640625" style="43" customWidth="1"/>
    <col min="7428" max="7428" width="10.5546875" style="43" customWidth="1"/>
    <col min="7429" max="7429" width="36.88671875" style="43" customWidth="1"/>
    <col min="7430" max="7430" width="37.33203125" style="43" customWidth="1"/>
    <col min="7431" max="7431" width="5.109375" style="43" bestFit="1" customWidth="1"/>
    <col min="7432" max="7432" width="14.6640625" style="43" customWidth="1"/>
    <col min="7433" max="7434" width="4.88671875" style="43" customWidth="1"/>
    <col min="7435" max="7435" width="6.33203125" style="43" bestFit="1" customWidth="1"/>
    <col min="7436" max="7436" width="12" style="43" bestFit="1" customWidth="1"/>
    <col min="7437" max="7437" width="4.88671875" style="43" customWidth="1"/>
    <col min="7438" max="7438" width="8.6640625" style="43" bestFit="1" customWidth="1"/>
    <col min="7439" max="7680" width="9.109375" style="43"/>
    <col min="7681" max="7681" width="20" style="43" customWidth="1"/>
    <col min="7682" max="7682" width="104.109375" style="43" customWidth="1"/>
    <col min="7683" max="7683" width="9.6640625" style="43" customWidth="1"/>
    <col min="7684" max="7684" width="10.5546875" style="43" customWidth="1"/>
    <col min="7685" max="7685" width="36.88671875" style="43" customWidth="1"/>
    <col min="7686" max="7686" width="37.33203125" style="43" customWidth="1"/>
    <col min="7687" max="7687" width="5.109375" style="43" bestFit="1" customWidth="1"/>
    <col min="7688" max="7688" width="14.6640625" style="43" customWidth="1"/>
    <col min="7689" max="7690" width="4.88671875" style="43" customWidth="1"/>
    <col min="7691" max="7691" width="6.33203125" style="43" bestFit="1" customWidth="1"/>
    <col min="7692" max="7692" width="12" style="43" bestFit="1" customWidth="1"/>
    <col min="7693" max="7693" width="4.88671875" style="43" customWidth="1"/>
    <col min="7694" max="7694" width="8.6640625" style="43" bestFit="1" customWidth="1"/>
    <col min="7695" max="7936" width="9.109375" style="43"/>
    <col min="7937" max="7937" width="20" style="43" customWidth="1"/>
    <col min="7938" max="7938" width="104.109375" style="43" customWidth="1"/>
    <col min="7939" max="7939" width="9.6640625" style="43" customWidth="1"/>
    <col min="7940" max="7940" width="10.5546875" style="43" customWidth="1"/>
    <col min="7941" max="7941" width="36.88671875" style="43" customWidth="1"/>
    <col min="7942" max="7942" width="37.33203125" style="43" customWidth="1"/>
    <col min="7943" max="7943" width="5.109375" style="43" bestFit="1" customWidth="1"/>
    <col min="7944" max="7944" width="14.6640625" style="43" customWidth="1"/>
    <col min="7945" max="7946" width="4.88671875" style="43" customWidth="1"/>
    <col min="7947" max="7947" width="6.33203125" style="43" bestFit="1" customWidth="1"/>
    <col min="7948" max="7948" width="12" style="43" bestFit="1" customWidth="1"/>
    <col min="7949" max="7949" width="4.88671875" style="43" customWidth="1"/>
    <col min="7950" max="7950" width="8.6640625" style="43" bestFit="1" customWidth="1"/>
    <col min="7951" max="8192" width="9.109375" style="43"/>
    <col min="8193" max="8193" width="20" style="43" customWidth="1"/>
    <col min="8194" max="8194" width="104.109375" style="43" customWidth="1"/>
    <col min="8195" max="8195" width="9.6640625" style="43" customWidth="1"/>
    <col min="8196" max="8196" width="10.5546875" style="43" customWidth="1"/>
    <col min="8197" max="8197" width="36.88671875" style="43" customWidth="1"/>
    <col min="8198" max="8198" width="37.33203125" style="43" customWidth="1"/>
    <col min="8199" max="8199" width="5.109375" style="43" bestFit="1" customWidth="1"/>
    <col min="8200" max="8200" width="14.6640625" style="43" customWidth="1"/>
    <col min="8201" max="8202" width="4.88671875" style="43" customWidth="1"/>
    <col min="8203" max="8203" width="6.33203125" style="43" bestFit="1" customWidth="1"/>
    <col min="8204" max="8204" width="12" style="43" bestFit="1" customWidth="1"/>
    <col min="8205" max="8205" width="4.88671875" style="43" customWidth="1"/>
    <col min="8206" max="8206" width="8.6640625" style="43" bestFit="1" customWidth="1"/>
    <col min="8207" max="8448" width="9.109375" style="43"/>
    <col min="8449" max="8449" width="20" style="43" customWidth="1"/>
    <col min="8450" max="8450" width="104.109375" style="43" customWidth="1"/>
    <col min="8451" max="8451" width="9.6640625" style="43" customWidth="1"/>
    <col min="8452" max="8452" width="10.5546875" style="43" customWidth="1"/>
    <col min="8453" max="8453" width="36.88671875" style="43" customWidth="1"/>
    <col min="8454" max="8454" width="37.33203125" style="43" customWidth="1"/>
    <col min="8455" max="8455" width="5.109375" style="43" bestFit="1" customWidth="1"/>
    <col min="8456" max="8456" width="14.6640625" style="43" customWidth="1"/>
    <col min="8457" max="8458" width="4.88671875" style="43" customWidth="1"/>
    <col min="8459" max="8459" width="6.33203125" style="43" bestFit="1" customWidth="1"/>
    <col min="8460" max="8460" width="12" style="43" bestFit="1" customWidth="1"/>
    <col min="8461" max="8461" width="4.88671875" style="43" customWidth="1"/>
    <col min="8462" max="8462" width="8.6640625" style="43" bestFit="1" customWidth="1"/>
    <col min="8463" max="8704" width="9.109375" style="43"/>
    <col min="8705" max="8705" width="20" style="43" customWidth="1"/>
    <col min="8706" max="8706" width="104.109375" style="43" customWidth="1"/>
    <col min="8707" max="8707" width="9.6640625" style="43" customWidth="1"/>
    <col min="8708" max="8708" width="10.5546875" style="43" customWidth="1"/>
    <col min="8709" max="8709" width="36.88671875" style="43" customWidth="1"/>
    <col min="8710" max="8710" width="37.33203125" style="43" customWidth="1"/>
    <col min="8711" max="8711" width="5.109375" style="43" bestFit="1" customWidth="1"/>
    <col min="8712" max="8712" width="14.6640625" style="43" customWidth="1"/>
    <col min="8713" max="8714" width="4.88671875" style="43" customWidth="1"/>
    <col min="8715" max="8715" width="6.33203125" style="43" bestFit="1" customWidth="1"/>
    <col min="8716" max="8716" width="12" style="43" bestFit="1" customWidth="1"/>
    <col min="8717" max="8717" width="4.88671875" style="43" customWidth="1"/>
    <col min="8718" max="8718" width="8.6640625" style="43" bestFit="1" customWidth="1"/>
    <col min="8719" max="8960" width="9.109375" style="43"/>
    <col min="8961" max="8961" width="20" style="43" customWidth="1"/>
    <col min="8962" max="8962" width="104.109375" style="43" customWidth="1"/>
    <col min="8963" max="8963" width="9.6640625" style="43" customWidth="1"/>
    <col min="8964" max="8964" width="10.5546875" style="43" customWidth="1"/>
    <col min="8965" max="8965" width="36.88671875" style="43" customWidth="1"/>
    <col min="8966" max="8966" width="37.33203125" style="43" customWidth="1"/>
    <col min="8967" max="8967" width="5.109375" style="43" bestFit="1" customWidth="1"/>
    <col min="8968" max="8968" width="14.6640625" style="43" customWidth="1"/>
    <col min="8969" max="8970" width="4.88671875" style="43" customWidth="1"/>
    <col min="8971" max="8971" width="6.33203125" style="43" bestFit="1" customWidth="1"/>
    <col min="8972" max="8972" width="12" style="43" bestFit="1" customWidth="1"/>
    <col min="8973" max="8973" width="4.88671875" style="43" customWidth="1"/>
    <col min="8974" max="8974" width="8.6640625" style="43" bestFit="1" customWidth="1"/>
    <col min="8975" max="9216" width="9.109375" style="43"/>
    <col min="9217" max="9217" width="20" style="43" customWidth="1"/>
    <col min="9218" max="9218" width="104.109375" style="43" customWidth="1"/>
    <col min="9219" max="9219" width="9.6640625" style="43" customWidth="1"/>
    <col min="9220" max="9220" width="10.5546875" style="43" customWidth="1"/>
    <col min="9221" max="9221" width="36.88671875" style="43" customWidth="1"/>
    <col min="9222" max="9222" width="37.33203125" style="43" customWidth="1"/>
    <col min="9223" max="9223" width="5.109375" style="43" bestFit="1" customWidth="1"/>
    <col min="9224" max="9224" width="14.6640625" style="43" customWidth="1"/>
    <col min="9225" max="9226" width="4.88671875" style="43" customWidth="1"/>
    <col min="9227" max="9227" width="6.33203125" style="43" bestFit="1" customWidth="1"/>
    <col min="9228" max="9228" width="12" style="43" bestFit="1" customWidth="1"/>
    <col min="9229" max="9229" width="4.88671875" style="43" customWidth="1"/>
    <col min="9230" max="9230" width="8.6640625" style="43" bestFit="1" customWidth="1"/>
    <col min="9231" max="9472" width="9.109375" style="43"/>
    <col min="9473" max="9473" width="20" style="43" customWidth="1"/>
    <col min="9474" max="9474" width="104.109375" style="43" customWidth="1"/>
    <col min="9475" max="9475" width="9.6640625" style="43" customWidth="1"/>
    <col min="9476" max="9476" width="10.5546875" style="43" customWidth="1"/>
    <col min="9477" max="9477" width="36.88671875" style="43" customWidth="1"/>
    <col min="9478" max="9478" width="37.33203125" style="43" customWidth="1"/>
    <col min="9479" max="9479" width="5.109375" style="43" bestFit="1" customWidth="1"/>
    <col min="9480" max="9480" width="14.6640625" style="43" customWidth="1"/>
    <col min="9481" max="9482" width="4.88671875" style="43" customWidth="1"/>
    <col min="9483" max="9483" width="6.33203125" style="43" bestFit="1" customWidth="1"/>
    <col min="9484" max="9484" width="12" style="43" bestFit="1" customWidth="1"/>
    <col min="9485" max="9485" width="4.88671875" style="43" customWidth="1"/>
    <col min="9486" max="9486" width="8.6640625" style="43" bestFit="1" customWidth="1"/>
    <col min="9487" max="9728" width="9.109375" style="43"/>
    <col min="9729" max="9729" width="20" style="43" customWidth="1"/>
    <col min="9730" max="9730" width="104.109375" style="43" customWidth="1"/>
    <col min="9731" max="9731" width="9.6640625" style="43" customWidth="1"/>
    <col min="9732" max="9732" width="10.5546875" style="43" customWidth="1"/>
    <col min="9733" max="9733" width="36.88671875" style="43" customWidth="1"/>
    <col min="9734" max="9734" width="37.33203125" style="43" customWidth="1"/>
    <col min="9735" max="9735" width="5.109375" style="43" bestFit="1" customWidth="1"/>
    <col min="9736" max="9736" width="14.6640625" style="43" customWidth="1"/>
    <col min="9737" max="9738" width="4.88671875" style="43" customWidth="1"/>
    <col min="9739" max="9739" width="6.33203125" style="43" bestFit="1" customWidth="1"/>
    <col min="9740" max="9740" width="12" style="43" bestFit="1" customWidth="1"/>
    <col min="9741" max="9741" width="4.88671875" style="43" customWidth="1"/>
    <col min="9742" max="9742" width="8.6640625" style="43" bestFit="1" customWidth="1"/>
    <col min="9743" max="9984" width="9.109375" style="43"/>
    <col min="9985" max="9985" width="20" style="43" customWidth="1"/>
    <col min="9986" max="9986" width="104.109375" style="43" customWidth="1"/>
    <col min="9987" max="9987" width="9.6640625" style="43" customWidth="1"/>
    <col min="9988" max="9988" width="10.5546875" style="43" customWidth="1"/>
    <col min="9989" max="9989" width="36.88671875" style="43" customWidth="1"/>
    <col min="9990" max="9990" width="37.33203125" style="43" customWidth="1"/>
    <col min="9991" max="9991" width="5.109375" style="43" bestFit="1" customWidth="1"/>
    <col min="9992" max="9992" width="14.6640625" style="43" customWidth="1"/>
    <col min="9993" max="9994" width="4.88671875" style="43" customWidth="1"/>
    <col min="9995" max="9995" width="6.33203125" style="43" bestFit="1" customWidth="1"/>
    <col min="9996" max="9996" width="12" style="43" bestFit="1" customWidth="1"/>
    <col min="9997" max="9997" width="4.88671875" style="43" customWidth="1"/>
    <col min="9998" max="9998" width="8.6640625" style="43" bestFit="1" customWidth="1"/>
    <col min="9999" max="10240" width="9.109375" style="43"/>
    <col min="10241" max="10241" width="20" style="43" customWidth="1"/>
    <col min="10242" max="10242" width="104.109375" style="43" customWidth="1"/>
    <col min="10243" max="10243" width="9.6640625" style="43" customWidth="1"/>
    <col min="10244" max="10244" width="10.5546875" style="43" customWidth="1"/>
    <col min="10245" max="10245" width="36.88671875" style="43" customWidth="1"/>
    <col min="10246" max="10246" width="37.33203125" style="43" customWidth="1"/>
    <col min="10247" max="10247" width="5.109375" style="43" bestFit="1" customWidth="1"/>
    <col min="10248" max="10248" width="14.6640625" style="43" customWidth="1"/>
    <col min="10249" max="10250" width="4.88671875" style="43" customWidth="1"/>
    <col min="10251" max="10251" width="6.33203125" style="43" bestFit="1" customWidth="1"/>
    <col min="10252" max="10252" width="12" style="43" bestFit="1" customWidth="1"/>
    <col min="10253" max="10253" width="4.88671875" style="43" customWidth="1"/>
    <col min="10254" max="10254" width="8.6640625" style="43" bestFit="1" customWidth="1"/>
    <col min="10255" max="10496" width="9.109375" style="43"/>
    <col min="10497" max="10497" width="20" style="43" customWidth="1"/>
    <col min="10498" max="10498" width="104.109375" style="43" customWidth="1"/>
    <col min="10499" max="10499" width="9.6640625" style="43" customWidth="1"/>
    <col min="10500" max="10500" width="10.5546875" style="43" customWidth="1"/>
    <col min="10501" max="10501" width="36.88671875" style="43" customWidth="1"/>
    <col min="10502" max="10502" width="37.33203125" style="43" customWidth="1"/>
    <col min="10503" max="10503" width="5.109375" style="43" bestFit="1" customWidth="1"/>
    <col min="10504" max="10504" width="14.6640625" style="43" customWidth="1"/>
    <col min="10505" max="10506" width="4.88671875" style="43" customWidth="1"/>
    <col min="10507" max="10507" width="6.33203125" style="43" bestFit="1" customWidth="1"/>
    <col min="10508" max="10508" width="12" style="43" bestFit="1" customWidth="1"/>
    <col min="10509" max="10509" width="4.88671875" style="43" customWidth="1"/>
    <col min="10510" max="10510" width="8.6640625" style="43" bestFit="1" customWidth="1"/>
    <col min="10511" max="10752" width="9.109375" style="43"/>
    <col min="10753" max="10753" width="20" style="43" customWidth="1"/>
    <col min="10754" max="10754" width="104.109375" style="43" customWidth="1"/>
    <col min="10755" max="10755" width="9.6640625" style="43" customWidth="1"/>
    <col min="10756" max="10756" width="10.5546875" style="43" customWidth="1"/>
    <col min="10757" max="10757" width="36.88671875" style="43" customWidth="1"/>
    <col min="10758" max="10758" width="37.33203125" style="43" customWidth="1"/>
    <col min="10759" max="10759" width="5.109375" style="43" bestFit="1" customWidth="1"/>
    <col min="10760" max="10760" width="14.6640625" style="43" customWidth="1"/>
    <col min="10761" max="10762" width="4.88671875" style="43" customWidth="1"/>
    <col min="10763" max="10763" width="6.33203125" style="43" bestFit="1" customWidth="1"/>
    <col min="10764" max="10764" width="12" style="43" bestFit="1" customWidth="1"/>
    <col min="10765" max="10765" width="4.88671875" style="43" customWidth="1"/>
    <col min="10766" max="10766" width="8.6640625" style="43" bestFit="1" customWidth="1"/>
    <col min="10767" max="11008" width="9.109375" style="43"/>
    <col min="11009" max="11009" width="20" style="43" customWidth="1"/>
    <col min="11010" max="11010" width="104.109375" style="43" customWidth="1"/>
    <col min="11011" max="11011" width="9.6640625" style="43" customWidth="1"/>
    <col min="11012" max="11012" width="10.5546875" style="43" customWidth="1"/>
    <col min="11013" max="11013" width="36.88671875" style="43" customWidth="1"/>
    <col min="11014" max="11014" width="37.33203125" style="43" customWidth="1"/>
    <col min="11015" max="11015" width="5.109375" style="43" bestFit="1" customWidth="1"/>
    <col min="11016" max="11016" width="14.6640625" style="43" customWidth="1"/>
    <col min="11017" max="11018" width="4.88671875" style="43" customWidth="1"/>
    <col min="11019" max="11019" width="6.33203125" style="43" bestFit="1" customWidth="1"/>
    <col min="11020" max="11020" width="12" style="43" bestFit="1" customWidth="1"/>
    <col min="11021" max="11021" width="4.88671875" style="43" customWidth="1"/>
    <col min="11022" max="11022" width="8.6640625" style="43" bestFit="1" customWidth="1"/>
    <col min="11023" max="11264" width="9.109375" style="43"/>
    <col min="11265" max="11265" width="20" style="43" customWidth="1"/>
    <col min="11266" max="11266" width="104.109375" style="43" customWidth="1"/>
    <col min="11267" max="11267" width="9.6640625" style="43" customWidth="1"/>
    <col min="11268" max="11268" width="10.5546875" style="43" customWidth="1"/>
    <col min="11269" max="11269" width="36.88671875" style="43" customWidth="1"/>
    <col min="11270" max="11270" width="37.33203125" style="43" customWidth="1"/>
    <col min="11271" max="11271" width="5.109375" style="43" bestFit="1" customWidth="1"/>
    <col min="11272" max="11272" width="14.6640625" style="43" customWidth="1"/>
    <col min="11273" max="11274" width="4.88671875" style="43" customWidth="1"/>
    <col min="11275" max="11275" width="6.33203125" style="43" bestFit="1" customWidth="1"/>
    <col min="11276" max="11276" width="12" style="43" bestFit="1" customWidth="1"/>
    <col min="11277" max="11277" width="4.88671875" style="43" customWidth="1"/>
    <col min="11278" max="11278" width="8.6640625" style="43" bestFit="1" customWidth="1"/>
    <col min="11279" max="11520" width="9.109375" style="43"/>
    <col min="11521" max="11521" width="20" style="43" customWidth="1"/>
    <col min="11522" max="11522" width="104.109375" style="43" customWidth="1"/>
    <col min="11523" max="11523" width="9.6640625" style="43" customWidth="1"/>
    <col min="11524" max="11524" width="10.5546875" style="43" customWidth="1"/>
    <col min="11525" max="11525" width="36.88671875" style="43" customWidth="1"/>
    <col min="11526" max="11526" width="37.33203125" style="43" customWidth="1"/>
    <col min="11527" max="11527" width="5.109375" style="43" bestFit="1" customWidth="1"/>
    <col min="11528" max="11528" width="14.6640625" style="43" customWidth="1"/>
    <col min="11529" max="11530" width="4.88671875" style="43" customWidth="1"/>
    <col min="11531" max="11531" width="6.33203125" style="43" bestFit="1" customWidth="1"/>
    <col min="11532" max="11532" width="12" style="43" bestFit="1" customWidth="1"/>
    <col min="11533" max="11533" width="4.88671875" style="43" customWidth="1"/>
    <col min="11534" max="11534" width="8.6640625" style="43" bestFit="1" customWidth="1"/>
    <col min="11535" max="11776" width="9.109375" style="43"/>
    <col min="11777" max="11777" width="20" style="43" customWidth="1"/>
    <col min="11778" max="11778" width="104.109375" style="43" customWidth="1"/>
    <col min="11779" max="11779" width="9.6640625" style="43" customWidth="1"/>
    <col min="11780" max="11780" width="10.5546875" style="43" customWidth="1"/>
    <col min="11781" max="11781" width="36.88671875" style="43" customWidth="1"/>
    <col min="11782" max="11782" width="37.33203125" style="43" customWidth="1"/>
    <col min="11783" max="11783" width="5.109375" style="43" bestFit="1" customWidth="1"/>
    <col min="11784" max="11784" width="14.6640625" style="43" customWidth="1"/>
    <col min="11785" max="11786" width="4.88671875" style="43" customWidth="1"/>
    <col min="11787" max="11787" width="6.33203125" style="43" bestFit="1" customWidth="1"/>
    <col min="11788" max="11788" width="12" style="43" bestFit="1" customWidth="1"/>
    <col min="11789" max="11789" width="4.88671875" style="43" customWidth="1"/>
    <col min="11790" max="11790" width="8.6640625" style="43" bestFit="1" customWidth="1"/>
    <col min="11791" max="12032" width="9.109375" style="43"/>
    <col min="12033" max="12033" width="20" style="43" customWidth="1"/>
    <col min="12034" max="12034" width="104.109375" style="43" customWidth="1"/>
    <col min="12035" max="12035" width="9.6640625" style="43" customWidth="1"/>
    <col min="12036" max="12036" width="10.5546875" style="43" customWidth="1"/>
    <col min="12037" max="12037" width="36.88671875" style="43" customWidth="1"/>
    <col min="12038" max="12038" width="37.33203125" style="43" customWidth="1"/>
    <col min="12039" max="12039" width="5.109375" style="43" bestFit="1" customWidth="1"/>
    <col min="12040" max="12040" width="14.6640625" style="43" customWidth="1"/>
    <col min="12041" max="12042" width="4.88671875" style="43" customWidth="1"/>
    <col min="12043" max="12043" width="6.33203125" style="43" bestFit="1" customWidth="1"/>
    <col min="12044" max="12044" width="12" style="43" bestFit="1" customWidth="1"/>
    <col min="12045" max="12045" width="4.88671875" style="43" customWidth="1"/>
    <col min="12046" max="12046" width="8.6640625" style="43" bestFit="1" customWidth="1"/>
    <col min="12047" max="12288" width="9.109375" style="43"/>
    <col min="12289" max="12289" width="20" style="43" customWidth="1"/>
    <col min="12290" max="12290" width="104.109375" style="43" customWidth="1"/>
    <col min="12291" max="12291" width="9.6640625" style="43" customWidth="1"/>
    <col min="12292" max="12292" width="10.5546875" style="43" customWidth="1"/>
    <col min="12293" max="12293" width="36.88671875" style="43" customWidth="1"/>
    <col min="12294" max="12294" width="37.33203125" style="43" customWidth="1"/>
    <col min="12295" max="12295" width="5.109375" style="43" bestFit="1" customWidth="1"/>
    <col min="12296" max="12296" width="14.6640625" style="43" customWidth="1"/>
    <col min="12297" max="12298" width="4.88671875" style="43" customWidth="1"/>
    <col min="12299" max="12299" width="6.33203125" style="43" bestFit="1" customWidth="1"/>
    <col min="12300" max="12300" width="12" style="43" bestFit="1" customWidth="1"/>
    <col min="12301" max="12301" width="4.88671875" style="43" customWidth="1"/>
    <col min="12302" max="12302" width="8.6640625" style="43" bestFit="1" customWidth="1"/>
    <col min="12303" max="12544" width="9.109375" style="43"/>
    <col min="12545" max="12545" width="20" style="43" customWidth="1"/>
    <col min="12546" max="12546" width="104.109375" style="43" customWidth="1"/>
    <col min="12547" max="12547" width="9.6640625" style="43" customWidth="1"/>
    <col min="12548" max="12548" width="10.5546875" style="43" customWidth="1"/>
    <col min="12549" max="12549" width="36.88671875" style="43" customWidth="1"/>
    <col min="12550" max="12550" width="37.33203125" style="43" customWidth="1"/>
    <col min="12551" max="12551" width="5.109375" style="43" bestFit="1" customWidth="1"/>
    <col min="12552" max="12552" width="14.6640625" style="43" customWidth="1"/>
    <col min="12553" max="12554" width="4.88671875" style="43" customWidth="1"/>
    <col min="12555" max="12555" width="6.33203125" style="43" bestFit="1" customWidth="1"/>
    <col min="12556" max="12556" width="12" style="43" bestFit="1" customWidth="1"/>
    <col min="12557" max="12557" width="4.88671875" style="43" customWidth="1"/>
    <col min="12558" max="12558" width="8.6640625" style="43" bestFit="1" customWidth="1"/>
    <col min="12559" max="12800" width="9.109375" style="43"/>
    <col min="12801" max="12801" width="20" style="43" customWidth="1"/>
    <col min="12802" max="12802" width="104.109375" style="43" customWidth="1"/>
    <col min="12803" max="12803" width="9.6640625" style="43" customWidth="1"/>
    <col min="12804" max="12804" width="10.5546875" style="43" customWidth="1"/>
    <col min="12805" max="12805" width="36.88671875" style="43" customWidth="1"/>
    <col min="12806" max="12806" width="37.33203125" style="43" customWidth="1"/>
    <col min="12807" max="12807" width="5.109375" style="43" bestFit="1" customWidth="1"/>
    <col min="12808" max="12808" width="14.6640625" style="43" customWidth="1"/>
    <col min="12809" max="12810" width="4.88671875" style="43" customWidth="1"/>
    <col min="12811" max="12811" width="6.33203125" style="43" bestFit="1" customWidth="1"/>
    <col min="12812" max="12812" width="12" style="43" bestFit="1" customWidth="1"/>
    <col min="12813" max="12813" width="4.88671875" style="43" customWidth="1"/>
    <col min="12814" max="12814" width="8.6640625" style="43" bestFit="1" customWidth="1"/>
    <col min="12815" max="13056" width="9.109375" style="43"/>
    <col min="13057" max="13057" width="20" style="43" customWidth="1"/>
    <col min="13058" max="13058" width="104.109375" style="43" customWidth="1"/>
    <col min="13059" max="13059" width="9.6640625" style="43" customWidth="1"/>
    <col min="13060" max="13060" width="10.5546875" style="43" customWidth="1"/>
    <col min="13061" max="13061" width="36.88671875" style="43" customWidth="1"/>
    <col min="13062" max="13062" width="37.33203125" style="43" customWidth="1"/>
    <col min="13063" max="13063" width="5.109375" style="43" bestFit="1" customWidth="1"/>
    <col min="13064" max="13064" width="14.6640625" style="43" customWidth="1"/>
    <col min="13065" max="13066" width="4.88671875" style="43" customWidth="1"/>
    <col min="13067" max="13067" width="6.33203125" style="43" bestFit="1" customWidth="1"/>
    <col min="13068" max="13068" width="12" style="43" bestFit="1" customWidth="1"/>
    <col min="13069" max="13069" width="4.88671875" style="43" customWidth="1"/>
    <col min="13070" max="13070" width="8.6640625" style="43" bestFit="1" customWidth="1"/>
    <col min="13071" max="13312" width="9.109375" style="43"/>
    <col min="13313" max="13313" width="20" style="43" customWidth="1"/>
    <col min="13314" max="13314" width="104.109375" style="43" customWidth="1"/>
    <col min="13315" max="13315" width="9.6640625" style="43" customWidth="1"/>
    <col min="13316" max="13316" width="10.5546875" style="43" customWidth="1"/>
    <col min="13317" max="13317" width="36.88671875" style="43" customWidth="1"/>
    <col min="13318" max="13318" width="37.33203125" style="43" customWidth="1"/>
    <col min="13319" max="13319" width="5.109375" style="43" bestFit="1" customWidth="1"/>
    <col min="13320" max="13320" width="14.6640625" style="43" customWidth="1"/>
    <col min="13321" max="13322" width="4.88671875" style="43" customWidth="1"/>
    <col min="13323" max="13323" width="6.33203125" style="43" bestFit="1" customWidth="1"/>
    <col min="13324" max="13324" width="12" style="43" bestFit="1" customWidth="1"/>
    <col min="13325" max="13325" width="4.88671875" style="43" customWidth="1"/>
    <col min="13326" max="13326" width="8.6640625" style="43" bestFit="1" customWidth="1"/>
    <col min="13327" max="13568" width="9.109375" style="43"/>
    <col min="13569" max="13569" width="20" style="43" customWidth="1"/>
    <col min="13570" max="13570" width="104.109375" style="43" customWidth="1"/>
    <col min="13571" max="13571" width="9.6640625" style="43" customWidth="1"/>
    <col min="13572" max="13572" width="10.5546875" style="43" customWidth="1"/>
    <col min="13573" max="13573" width="36.88671875" style="43" customWidth="1"/>
    <col min="13574" max="13574" width="37.33203125" style="43" customWidth="1"/>
    <col min="13575" max="13575" width="5.109375" style="43" bestFit="1" customWidth="1"/>
    <col min="13576" max="13576" width="14.6640625" style="43" customWidth="1"/>
    <col min="13577" max="13578" width="4.88671875" style="43" customWidth="1"/>
    <col min="13579" max="13579" width="6.33203125" style="43" bestFit="1" customWidth="1"/>
    <col min="13580" max="13580" width="12" style="43" bestFit="1" customWidth="1"/>
    <col min="13581" max="13581" width="4.88671875" style="43" customWidth="1"/>
    <col min="13582" max="13582" width="8.6640625" style="43" bestFit="1" customWidth="1"/>
    <col min="13583" max="13824" width="9.109375" style="43"/>
    <col min="13825" max="13825" width="20" style="43" customWidth="1"/>
    <col min="13826" max="13826" width="104.109375" style="43" customWidth="1"/>
    <col min="13827" max="13827" width="9.6640625" style="43" customWidth="1"/>
    <col min="13828" max="13828" width="10.5546875" style="43" customWidth="1"/>
    <col min="13829" max="13829" width="36.88671875" style="43" customWidth="1"/>
    <col min="13830" max="13830" width="37.33203125" style="43" customWidth="1"/>
    <col min="13831" max="13831" width="5.109375" style="43" bestFit="1" customWidth="1"/>
    <col min="13832" max="13832" width="14.6640625" style="43" customWidth="1"/>
    <col min="13833" max="13834" width="4.88671875" style="43" customWidth="1"/>
    <col min="13835" max="13835" width="6.33203125" style="43" bestFit="1" customWidth="1"/>
    <col min="13836" max="13836" width="12" style="43" bestFit="1" customWidth="1"/>
    <col min="13837" max="13837" width="4.88671875" style="43" customWidth="1"/>
    <col min="13838" max="13838" width="8.6640625" style="43" bestFit="1" customWidth="1"/>
    <col min="13839" max="14080" width="9.109375" style="43"/>
    <col min="14081" max="14081" width="20" style="43" customWidth="1"/>
    <col min="14082" max="14082" width="104.109375" style="43" customWidth="1"/>
    <col min="14083" max="14083" width="9.6640625" style="43" customWidth="1"/>
    <col min="14084" max="14084" width="10.5546875" style="43" customWidth="1"/>
    <col min="14085" max="14085" width="36.88671875" style="43" customWidth="1"/>
    <col min="14086" max="14086" width="37.33203125" style="43" customWidth="1"/>
    <col min="14087" max="14087" width="5.109375" style="43" bestFit="1" customWidth="1"/>
    <col min="14088" max="14088" width="14.6640625" style="43" customWidth="1"/>
    <col min="14089" max="14090" width="4.88671875" style="43" customWidth="1"/>
    <col min="14091" max="14091" width="6.33203125" style="43" bestFit="1" customWidth="1"/>
    <col min="14092" max="14092" width="12" style="43" bestFit="1" customWidth="1"/>
    <col min="14093" max="14093" width="4.88671875" style="43" customWidth="1"/>
    <col min="14094" max="14094" width="8.6640625" style="43" bestFit="1" customWidth="1"/>
    <col min="14095" max="14336" width="9.109375" style="43"/>
    <col min="14337" max="14337" width="20" style="43" customWidth="1"/>
    <col min="14338" max="14338" width="104.109375" style="43" customWidth="1"/>
    <col min="14339" max="14339" width="9.6640625" style="43" customWidth="1"/>
    <col min="14340" max="14340" width="10.5546875" style="43" customWidth="1"/>
    <col min="14341" max="14341" width="36.88671875" style="43" customWidth="1"/>
    <col min="14342" max="14342" width="37.33203125" style="43" customWidth="1"/>
    <col min="14343" max="14343" width="5.109375" style="43" bestFit="1" customWidth="1"/>
    <col min="14344" max="14344" width="14.6640625" style="43" customWidth="1"/>
    <col min="14345" max="14346" width="4.88671875" style="43" customWidth="1"/>
    <col min="14347" max="14347" width="6.33203125" style="43" bestFit="1" customWidth="1"/>
    <col min="14348" max="14348" width="12" style="43" bestFit="1" customWidth="1"/>
    <col min="14349" max="14349" width="4.88671875" style="43" customWidth="1"/>
    <col min="14350" max="14350" width="8.6640625" style="43" bestFit="1" customWidth="1"/>
    <col min="14351" max="14592" width="9.109375" style="43"/>
    <col min="14593" max="14593" width="20" style="43" customWidth="1"/>
    <col min="14594" max="14594" width="104.109375" style="43" customWidth="1"/>
    <col min="14595" max="14595" width="9.6640625" style="43" customWidth="1"/>
    <col min="14596" max="14596" width="10.5546875" style="43" customWidth="1"/>
    <col min="14597" max="14597" width="36.88671875" style="43" customWidth="1"/>
    <col min="14598" max="14598" width="37.33203125" style="43" customWidth="1"/>
    <col min="14599" max="14599" width="5.109375" style="43" bestFit="1" customWidth="1"/>
    <col min="14600" max="14600" width="14.6640625" style="43" customWidth="1"/>
    <col min="14601" max="14602" width="4.88671875" style="43" customWidth="1"/>
    <col min="14603" max="14603" width="6.33203125" style="43" bestFit="1" customWidth="1"/>
    <col min="14604" max="14604" width="12" style="43" bestFit="1" customWidth="1"/>
    <col min="14605" max="14605" width="4.88671875" style="43" customWidth="1"/>
    <col min="14606" max="14606" width="8.6640625" style="43" bestFit="1" customWidth="1"/>
    <col min="14607" max="14848" width="9.109375" style="43"/>
    <col min="14849" max="14849" width="20" style="43" customWidth="1"/>
    <col min="14850" max="14850" width="104.109375" style="43" customWidth="1"/>
    <col min="14851" max="14851" width="9.6640625" style="43" customWidth="1"/>
    <col min="14852" max="14852" width="10.5546875" style="43" customWidth="1"/>
    <col min="14853" max="14853" width="36.88671875" style="43" customWidth="1"/>
    <col min="14854" max="14854" width="37.33203125" style="43" customWidth="1"/>
    <col min="14855" max="14855" width="5.109375" style="43" bestFit="1" customWidth="1"/>
    <col min="14856" max="14856" width="14.6640625" style="43" customWidth="1"/>
    <col min="14857" max="14858" width="4.88671875" style="43" customWidth="1"/>
    <col min="14859" max="14859" width="6.33203125" style="43" bestFit="1" customWidth="1"/>
    <col min="14860" max="14860" width="12" style="43" bestFit="1" customWidth="1"/>
    <col min="14861" max="14861" width="4.88671875" style="43" customWidth="1"/>
    <col min="14862" max="14862" width="8.6640625" style="43" bestFit="1" customWidth="1"/>
    <col min="14863" max="15104" width="9.109375" style="43"/>
    <col min="15105" max="15105" width="20" style="43" customWidth="1"/>
    <col min="15106" max="15106" width="104.109375" style="43" customWidth="1"/>
    <col min="15107" max="15107" width="9.6640625" style="43" customWidth="1"/>
    <col min="15108" max="15108" width="10.5546875" style="43" customWidth="1"/>
    <col min="15109" max="15109" width="36.88671875" style="43" customWidth="1"/>
    <col min="15110" max="15110" width="37.33203125" style="43" customWidth="1"/>
    <col min="15111" max="15111" width="5.109375" style="43" bestFit="1" customWidth="1"/>
    <col min="15112" max="15112" width="14.6640625" style="43" customWidth="1"/>
    <col min="15113" max="15114" width="4.88671875" style="43" customWidth="1"/>
    <col min="15115" max="15115" width="6.33203125" style="43" bestFit="1" customWidth="1"/>
    <col min="15116" max="15116" width="12" style="43" bestFit="1" customWidth="1"/>
    <col min="15117" max="15117" width="4.88671875" style="43" customWidth="1"/>
    <col min="15118" max="15118" width="8.6640625" style="43" bestFit="1" customWidth="1"/>
    <col min="15119" max="15360" width="9.109375" style="43"/>
    <col min="15361" max="15361" width="20" style="43" customWidth="1"/>
    <col min="15362" max="15362" width="104.109375" style="43" customWidth="1"/>
    <col min="15363" max="15363" width="9.6640625" style="43" customWidth="1"/>
    <col min="15364" max="15364" width="10.5546875" style="43" customWidth="1"/>
    <col min="15365" max="15365" width="36.88671875" style="43" customWidth="1"/>
    <col min="15366" max="15366" width="37.33203125" style="43" customWidth="1"/>
    <col min="15367" max="15367" width="5.109375" style="43" bestFit="1" customWidth="1"/>
    <col min="15368" max="15368" width="14.6640625" style="43" customWidth="1"/>
    <col min="15369" max="15370" width="4.88671875" style="43" customWidth="1"/>
    <col min="15371" max="15371" width="6.33203125" style="43" bestFit="1" customWidth="1"/>
    <col min="15372" max="15372" width="12" style="43" bestFit="1" customWidth="1"/>
    <col min="15373" max="15373" width="4.88671875" style="43" customWidth="1"/>
    <col min="15374" max="15374" width="8.6640625" style="43" bestFit="1" customWidth="1"/>
    <col min="15375" max="15616" width="9.109375" style="43"/>
    <col min="15617" max="15617" width="20" style="43" customWidth="1"/>
    <col min="15618" max="15618" width="104.109375" style="43" customWidth="1"/>
    <col min="15619" max="15619" width="9.6640625" style="43" customWidth="1"/>
    <col min="15620" max="15620" width="10.5546875" style="43" customWidth="1"/>
    <col min="15621" max="15621" width="36.88671875" style="43" customWidth="1"/>
    <col min="15622" max="15622" width="37.33203125" style="43" customWidth="1"/>
    <col min="15623" max="15623" width="5.109375" style="43" bestFit="1" customWidth="1"/>
    <col min="15624" max="15624" width="14.6640625" style="43" customWidth="1"/>
    <col min="15625" max="15626" width="4.88671875" style="43" customWidth="1"/>
    <col min="15627" max="15627" width="6.33203125" style="43" bestFit="1" customWidth="1"/>
    <col min="15628" max="15628" width="12" style="43" bestFit="1" customWidth="1"/>
    <col min="15629" max="15629" width="4.88671875" style="43" customWidth="1"/>
    <col min="15630" max="15630" width="8.6640625" style="43" bestFit="1" customWidth="1"/>
    <col min="15631" max="15872" width="9.109375" style="43"/>
    <col min="15873" max="15873" width="20" style="43" customWidth="1"/>
    <col min="15874" max="15874" width="104.109375" style="43" customWidth="1"/>
    <col min="15875" max="15875" width="9.6640625" style="43" customWidth="1"/>
    <col min="15876" max="15876" width="10.5546875" style="43" customWidth="1"/>
    <col min="15877" max="15877" width="36.88671875" style="43" customWidth="1"/>
    <col min="15878" max="15878" width="37.33203125" style="43" customWidth="1"/>
    <col min="15879" max="15879" width="5.109375" style="43" bestFit="1" customWidth="1"/>
    <col min="15880" max="15880" width="14.6640625" style="43" customWidth="1"/>
    <col min="15881" max="15882" width="4.88671875" style="43" customWidth="1"/>
    <col min="15883" max="15883" width="6.33203125" style="43" bestFit="1" customWidth="1"/>
    <col min="15884" max="15884" width="12" style="43" bestFit="1" customWidth="1"/>
    <col min="15885" max="15885" width="4.88671875" style="43" customWidth="1"/>
    <col min="15886" max="15886" width="8.6640625" style="43" bestFit="1" customWidth="1"/>
    <col min="15887" max="16128" width="9.109375" style="43"/>
    <col min="16129" max="16129" width="20" style="43" customWidth="1"/>
    <col min="16130" max="16130" width="104.109375" style="43" customWidth="1"/>
    <col min="16131" max="16131" width="9.6640625" style="43" customWidth="1"/>
    <col min="16132" max="16132" width="10.5546875" style="43" customWidth="1"/>
    <col min="16133" max="16133" width="36.88671875" style="43" customWidth="1"/>
    <col min="16134" max="16134" width="37.33203125" style="43" customWidth="1"/>
    <col min="16135" max="16135" width="5.109375" style="43" bestFit="1" customWidth="1"/>
    <col min="16136" max="16136" width="14.6640625" style="43" customWidth="1"/>
    <col min="16137" max="16138" width="4.88671875" style="43" customWidth="1"/>
    <col min="16139" max="16139" width="6.33203125" style="43" bestFit="1" customWidth="1"/>
    <col min="16140" max="16140" width="12" style="43" bestFit="1" customWidth="1"/>
    <col min="16141" max="16141" width="4.88671875" style="43" customWidth="1"/>
    <col min="16142" max="16142" width="8.6640625" style="43" bestFit="1" customWidth="1"/>
    <col min="16143" max="16383" width="9.109375" style="43"/>
    <col min="16384" max="16384" width="9.109375" style="43" customWidth="1"/>
  </cols>
  <sheetData>
    <row r="1" spans="1:7" s="16" customFormat="1" ht="69" customHeight="1">
      <c r="A1" s="103" t="s">
        <v>10</v>
      </c>
      <c r="B1" s="321" t="s">
        <v>572</v>
      </c>
      <c r="C1" s="322"/>
      <c r="D1" s="322"/>
      <c r="E1" s="322"/>
      <c r="F1" s="322"/>
      <c r="G1" s="323"/>
    </row>
    <row r="2" spans="1:7" s="17" customFormat="1" ht="40.5" customHeight="1">
      <c r="A2" s="316" t="s">
        <v>591</v>
      </c>
      <c r="B2" s="316"/>
      <c r="C2" s="316"/>
      <c r="D2" s="316"/>
      <c r="E2" s="316"/>
      <c r="F2" s="316"/>
      <c r="G2" s="316"/>
    </row>
    <row r="3" spans="1:7" s="18" customFormat="1" ht="18" customHeight="1">
      <c r="A3" s="317" t="s">
        <v>527</v>
      </c>
      <c r="B3" s="317"/>
      <c r="C3" s="317"/>
      <c r="D3" s="317"/>
      <c r="E3" s="317"/>
      <c r="F3" s="317"/>
      <c r="G3" s="317"/>
    </row>
    <row r="4" spans="1:7" s="29" customFormat="1" ht="18" customHeight="1">
      <c r="A4" s="317" t="s">
        <v>0</v>
      </c>
      <c r="B4" s="317"/>
      <c r="C4" s="317"/>
      <c r="D4" s="317"/>
      <c r="E4" s="317"/>
      <c r="F4" s="317"/>
      <c r="G4" s="317"/>
    </row>
    <row r="5" spans="1:7" s="30" customFormat="1" ht="151.5" customHeight="1">
      <c r="A5" s="169" t="s">
        <v>1</v>
      </c>
      <c r="B5" s="169" t="s">
        <v>2</v>
      </c>
      <c r="C5" s="169" t="s">
        <v>3</v>
      </c>
      <c r="D5" s="114" t="s">
        <v>14</v>
      </c>
      <c r="E5" s="141" t="s">
        <v>478</v>
      </c>
      <c r="F5" s="237" t="s">
        <v>478</v>
      </c>
      <c r="G5" s="95" t="s">
        <v>479</v>
      </c>
    </row>
    <row r="6" spans="1:7" s="31" customFormat="1">
      <c r="A6" s="169"/>
      <c r="B6" s="169"/>
      <c r="C6" s="170" t="s">
        <v>4</v>
      </c>
      <c r="D6" s="171" t="s">
        <v>5</v>
      </c>
      <c r="E6" s="172" t="s">
        <v>6</v>
      </c>
      <c r="F6" s="172" t="s">
        <v>6</v>
      </c>
      <c r="G6" s="173" t="s">
        <v>7</v>
      </c>
    </row>
    <row r="7" spans="1:7" s="34" customFormat="1" ht="21" customHeight="1">
      <c r="A7" s="162" t="s">
        <v>31</v>
      </c>
      <c r="B7" s="174" t="s">
        <v>32</v>
      </c>
      <c r="C7" s="175"/>
      <c r="D7" s="232"/>
      <c r="E7" s="75"/>
      <c r="F7" s="75"/>
      <c r="G7" s="79"/>
    </row>
    <row r="8" spans="1:7" s="34" customFormat="1" ht="33.75" customHeight="1">
      <c r="A8" s="162"/>
      <c r="B8" s="174" t="s">
        <v>33</v>
      </c>
      <c r="C8" s="175"/>
      <c r="D8" s="232"/>
      <c r="E8" s="76"/>
      <c r="F8" s="76"/>
      <c r="G8" s="79"/>
    </row>
    <row r="9" spans="1:7" s="34" customFormat="1" ht="77.25" customHeight="1">
      <c r="A9" s="162"/>
      <c r="B9" s="70" t="s">
        <v>34</v>
      </c>
      <c r="C9" s="175"/>
      <c r="D9" s="232"/>
      <c r="E9" s="76"/>
      <c r="F9" s="76"/>
      <c r="G9" s="79"/>
    </row>
    <row r="10" spans="1:7" s="34" customFormat="1" ht="70.95" customHeight="1">
      <c r="A10" s="162"/>
      <c r="B10" s="70" t="s">
        <v>35</v>
      </c>
      <c r="C10" s="175"/>
      <c r="D10" s="232"/>
      <c r="E10" s="76"/>
      <c r="F10" s="76"/>
      <c r="G10" s="79"/>
    </row>
    <row r="11" spans="1:7" s="34" customFormat="1" ht="72.75" customHeight="1">
      <c r="A11" s="162"/>
      <c r="B11" s="176" t="s">
        <v>36</v>
      </c>
      <c r="C11" s="175"/>
      <c r="D11" s="232"/>
      <c r="E11" s="76"/>
      <c r="F11" s="76"/>
      <c r="G11" s="79"/>
    </row>
    <row r="12" spans="1:7" s="34" customFormat="1" ht="36.75" customHeight="1">
      <c r="A12" s="162"/>
      <c r="B12" s="70" t="s">
        <v>37</v>
      </c>
      <c r="C12" s="175"/>
      <c r="D12" s="232"/>
      <c r="E12" s="76"/>
      <c r="F12" s="76"/>
      <c r="G12" s="79"/>
    </row>
    <row r="13" spans="1:7" s="34" customFormat="1" ht="75.75" customHeight="1">
      <c r="A13" s="162"/>
      <c r="B13" s="70" t="s">
        <v>38</v>
      </c>
      <c r="C13" s="175"/>
      <c r="D13" s="232"/>
      <c r="E13" s="76"/>
      <c r="F13" s="76"/>
      <c r="G13" s="79"/>
    </row>
    <row r="14" spans="1:7" s="34" customFormat="1" ht="33.75" customHeight="1">
      <c r="A14" s="162"/>
      <c r="B14" s="70" t="s">
        <v>39</v>
      </c>
      <c r="C14" s="175"/>
      <c r="D14" s="232"/>
      <c r="E14" s="76"/>
      <c r="F14" s="76"/>
      <c r="G14" s="79"/>
    </row>
    <row r="15" spans="1:7" s="34" customFormat="1" ht="28.5" customHeight="1">
      <c r="A15" s="162"/>
      <c r="B15" s="70" t="s">
        <v>40</v>
      </c>
      <c r="C15" s="175"/>
      <c r="D15" s="232"/>
      <c r="E15" s="76"/>
      <c r="F15" s="76"/>
      <c r="G15" s="79"/>
    </row>
    <row r="16" spans="1:7" s="34" customFormat="1" ht="18.75" customHeight="1">
      <c r="A16" s="162"/>
      <c r="B16" s="70" t="s">
        <v>41</v>
      </c>
      <c r="C16" s="175"/>
      <c r="D16" s="232"/>
      <c r="E16" s="76"/>
      <c r="F16" s="76"/>
      <c r="G16" s="79"/>
    </row>
    <row r="17" spans="1:8" s="34" customFormat="1" ht="21.75" customHeight="1">
      <c r="A17" s="162"/>
      <c r="B17" s="70" t="s">
        <v>42</v>
      </c>
      <c r="C17" s="175"/>
      <c r="D17" s="232"/>
      <c r="E17" s="76"/>
      <c r="F17" s="76"/>
      <c r="G17" s="79"/>
    </row>
    <row r="18" spans="1:8" s="34" customFormat="1" ht="45" customHeight="1">
      <c r="A18" s="162"/>
      <c r="B18" s="70" t="s">
        <v>43</v>
      </c>
      <c r="C18" s="175"/>
      <c r="D18" s="232"/>
      <c r="E18" s="76"/>
      <c r="F18" s="76"/>
      <c r="G18" s="94" t="s">
        <v>511</v>
      </c>
    </row>
    <row r="19" spans="1:8" s="34" customFormat="1" ht="66.75" customHeight="1">
      <c r="A19" s="162"/>
      <c r="B19" s="70" t="s">
        <v>44</v>
      </c>
      <c r="C19" s="175"/>
      <c r="D19" s="232"/>
      <c r="E19" s="76"/>
      <c r="F19" s="76"/>
      <c r="G19" s="79"/>
    </row>
    <row r="20" spans="1:8" s="34" customFormat="1" ht="36.75" customHeight="1">
      <c r="A20" s="162"/>
      <c r="B20" s="70" t="s">
        <v>45</v>
      </c>
      <c r="C20" s="175"/>
      <c r="D20" s="232"/>
      <c r="E20" s="76"/>
      <c r="F20" s="76"/>
      <c r="G20" s="79"/>
    </row>
    <row r="21" spans="1:8" s="34" customFormat="1" ht="24.75" customHeight="1">
      <c r="A21" s="162"/>
      <c r="B21" s="70" t="s">
        <v>46</v>
      </c>
      <c r="C21" s="175"/>
      <c r="D21" s="232"/>
      <c r="E21" s="76"/>
      <c r="F21" s="76"/>
      <c r="G21" s="79"/>
    </row>
    <row r="22" spans="1:8" s="34" customFormat="1" ht="48" customHeight="1">
      <c r="A22" s="162"/>
      <c r="B22" s="70" t="s">
        <v>47</v>
      </c>
      <c r="C22" s="175"/>
      <c r="D22" s="232"/>
      <c r="E22" s="76"/>
      <c r="F22" s="76"/>
      <c r="G22" s="79"/>
    </row>
    <row r="23" spans="1:8" s="34" customFormat="1" ht="36.75" customHeight="1">
      <c r="A23" s="162"/>
      <c r="B23" s="70" t="s">
        <v>48</v>
      </c>
      <c r="C23" s="175"/>
      <c r="D23" s="232"/>
      <c r="E23" s="76"/>
      <c r="F23" s="76"/>
      <c r="G23" s="79"/>
    </row>
    <row r="24" spans="1:8" s="34" customFormat="1" ht="18.75" hidden="1" customHeight="1">
      <c r="A24" s="175" t="s">
        <v>49</v>
      </c>
      <c r="B24" s="176" t="s">
        <v>50</v>
      </c>
      <c r="C24" s="75" t="s">
        <v>12</v>
      </c>
      <c r="D24" s="232">
        <v>0</v>
      </c>
      <c r="E24" s="76">
        <v>8944.76</v>
      </c>
      <c r="F24" s="76">
        <f>E24*1.1</f>
        <v>9839.2360000000008</v>
      </c>
      <c r="G24" s="79">
        <f>F24*D24</f>
        <v>0</v>
      </c>
    </row>
    <row r="25" spans="1:8" s="34" customFormat="1" ht="18.75" customHeight="1">
      <c r="A25" s="175" t="s">
        <v>51</v>
      </c>
      <c r="B25" s="176" t="s">
        <v>551</v>
      </c>
      <c r="C25" s="75" t="s">
        <v>12</v>
      </c>
      <c r="D25" s="232">
        <v>30</v>
      </c>
      <c r="E25" s="76">
        <v>7883.33</v>
      </c>
      <c r="F25" s="76">
        <f t="shared" ref="F25:F31" si="0">E25*1.1</f>
        <v>8671.6630000000005</v>
      </c>
      <c r="G25" s="79">
        <f t="shared" ref="G25:G31" si="1">F25*D25</f>
        <v>260149.89</v>
      </c>
    </row>
    <row r="26" spans="1:8" s="37" customFormat="1" ht="18.75" hidden="1" customHeight="1">
      <c r="A26" s="175" t="s">
        <v>550</v>
      </c>
      <c r="B26" s="176" t="s">
        <v>544</v>
      </c>
      <c r="C26" s="75" t="s">
        <v>12</v>
      </c>
      <c r="D26" s="232">
        <v>0</v>
      </c>
      <c r="E26" s="76">
        <v>7016.96</v>
      </c>
      <c r="F26" s="76">
        <f t="shared" si="0"/>
        <v>7718.6560000000009</v>
      </c>
      <c r="G26" s="79">
        <f t="shared" si="1"/>
        <v>0</v>
      </c>
      <c r="H26" s="38"/>
    </row>
    <row r="27" spans="1:8" s="37" customFormat="1" ht="18.75" customHeight="1">
      <c r="A27" s="175" t="s">
        <v>52</v>
      </c>
      <c r="B27" s="176" t="s">
        <v>53</v>
      </c>
      <c r="C27" s="75" t="s">
        <v>12</v>
      </c>
      <c r="D27" s="232">
        <v>20</v>
      </c>
      <c r="E27" s="76">
        <f>6114-(6114*0.55/100)</f>
        <v>6080.3729999999996</v>
      </c>
      <c r="F27" s="76">
        <f t="shared" si="0"/>
        <v>6688.4103000000005</v>
      </c>
      <c r="G27" s="79">
        <f t="shared" si="1"/>
        <v>133768.20600000001</v>
      </c>
    </row>
    <row r="28" spans="1:8" s="37" customFormat="1" ht="18.75" customHeight="1">
      <c r="A28" s="175" t="s">
        <v>54</v>
      </c>
      <c r="B28" s="176" t="s">
        <v>55</v>
      </c>
      <c r="C28" s="75" t="s">
        <v>12</v>
      </c>
      <c r="D28" s="232">
        <v>20</v>
      </c>
      <c r="E28" s="76">
        <f>4316-(4316*0.55/100)</f>
        <v>4292.2619999999997</v>
      </c>
      <c r="F28" s="76">
        <f t="shared" si="0"/>
        <v>4721.4881999999998</v>
      </c>
      <c r="G28" s="79">
        <f t="shared" si="1"/>
        <v>94429.763999999996</v>
      </c>
    </row>
    <row r="29" spans="1:8" s="37" customFormat="1" ht="18.75" hidden="1" customHeight="1">
      <c r="A29" s="175" t="s">
        <v>56</v>
      </c>
      <c r="B29" s="176" t="s">
        <v>57</v>
      </c>
      <c r="C29" s="75" t="s">
        <v>12</v>
      </c>
      <c r="D29" s="232">
        <v>0</v>
      </c>
      <c r="E29" s="76">
        <f>2981.8*1.2</f>
        <v>3578.1600000000003</v>
      </c>
      <c r="F29" s="76">
        <f t="shared" si="0"/>
        <v>3935.9760000000006</v>
      </c>
      <c r="G29" s="79">
        <f t="shared" si="1"/>
        <v>0</v>
      </c>
    </row>
    <row r="30" spans="1:8" s="37" customFormat="1" ht="18.75" hidden="1" customHeight="1">
      <c r="A30" s="175" t="s">
        <v>58</v>
      </c>
      <c r="B30" s="176" t="s">
        <v>59</v>
      </c>
      <c r="C30" s="75" t="s">
        <v>12</v>
      </c>
      <c r="D30" s="232">
        <v>0</v>
      </c>
      <c r="E30" s="76">
        <v>1800</v>
      </c>
      <c r="F30" s="76">
        <f t="shared" si="0"/>
        <v>1980.0000000000002</v>
      </c>
      <c r="G30" s="79">
        <f t="shared" si="1"/>
        <v>0</v>
      </c>
    </row>
    <row r="31" spans="1:8" s="37" customFormat="1" ht="18.75" customHeight="1">
      <c r="A31" s="175" t="s">
        <v>60</v>
      </c>
      <c r="B31" s="176" t="s">
        <v>61</v>
      </c>
      <c r="C31" s="75" t="s">
        <v>12</v>
      </c>
      <c r="D31" s="232">
        <v>2</v>
      </c>
      <c r="E31" s="76">
        <f>1498-(1498*0.55/100)</f>
        <v>1489.761</v>
      </c>
      <c r="F31" s="76">
        <f t="shared" si="0"/>
        <v>1638.7371000000001</v>
      </c>
      <c r="G31" s="79">
        <f t="shared" si="1"/>
        <v>3277.4742000000001</v>
      </c>
    </row>
    <row r="32" spans="1:8" s="37" customFormat="1" ht="47.25" customHeight="1">
      <c r="A32" s="175"/>
      <c r="B32" s="70" t="s">
        <v>578</v>
      </c>
      <c r="C32" s="75"/>
      <c r="D32" s="232"/>
      <c r="E32" s="76"/>
      <c r="F32" s="76"/>
      <c r="G32" s="79" t="s">
        <v>511</v>
      </c>
    </row>
    <row r="33" spans="1:7" s="37" customFormat="1" ht="21" customHeight="1">
      <c r="A33" s="162" t="s">
        <v>62</v>
      </c>
      <c r="B33" s="177" t="s">
        <v>63</v>
      </c>
      <c r="C33" s="75"/>
      <c r="D33" s="232"/>
      <c r="E33" s="76"/>
      <c r="F33" s="76"/>
      <c r="G33" s="79" t="s">
        <v>511</v>
      </c>
    </row>
    <row r="34" spans="1:7" s="37" customFormat="1" ht="31.5" customHeight="1">
      <c r="A34" s="175"/>
      <c r="B34" s="178" t="s">
        <v>64</v>
      </c>
      <c r="C34" s="75"/>
      <c r="D34" s="232"/>
      <c r="E34" s="76"/>
      <c r="F34" s="76"/>
      <c r="G34" s="79" t="s">
        <v>511</v>
      </c>
    </row>
    <row r="35" spans="1:7" s="37" customFormat="1" ht="24.9" customHeight="1">
      <c r="A35" s="175" t="s">
        <v>66</v>
      </c>
      <c r="B35" s="176" t="s">
        <v>67</v>
      </c>
      <c r="C35" s="179" t="s">
        <v>11</v>
      </c>
      <c r="D35" s="232">
        <v>4</v>
      </c>
      <c r="E35" s="76">
        <f>3956.7-(3956.7*0.55/100)</f>
        <v>3934.93815</v>
      </c>
      <c r="F35" s="76">
        <f t="shared" ref="F35:F36" si="2">E35*1.1</f>
        <v>4328.4319650000007</v>
      </c>
      <c r="G35" s="79">
        <f t="shared" ref="G35:G36" si="3">F35*D35</f>
        <v>17313.727860000003</v>
      </c>
    </row>
    <row r="36" spans="1:7" s="37" customFormat="1" ht="24.9" hidden="1" customHeight="1">
      <c r="A36" s="175" t="s">
        <v>68</v>
      </c>
      <c r="B36" s="176" t="s">
        <v>69</v>
      </c>
      <c r="C36" s="179" t="s">
        <v>11</v>
      </c>
      <c r="D36" s="232">
        <v>0</v>
      </c>
      <c r="E36" s="76">
        <v>1876.16</v>
      </c>
      <c r="F36" s="76">
        <f t="shared" si="2"/>
        <v>2063.7760000000003</v>
      </c>
      <c r="G36" s="79">
        <f t="shared" si="3"/>
        <v>0</v>
      </c>
    </row>
    <row r="37" spans="1:7" s="37" customFormat="1" ht="48" customHeight="1">
      <c r="A37" s="162" t="s">
        <v>70</v>
      </c>
      <c r="B37" s="178" t="s">
        <v>71</v>
      </c>
      <c r="C37" s="75"/>
      <c r="D37" s="232"/>
      <c r="E37" s="76"/>
      <c r="F37" s="76"/>
      <c r="G37" s="79" t="s">
        <v>511</v>
      </c>
    </row>
    <row r="38" spans="1:7" s="37" customFormat="1" ht="26.25" hidden="1" customHeight="1">
      <c r="A38" s="175" t="s">
        <v>223</v>
      </c>
      <c r="B38" s="176" t="s">
        <v>73</v>
      </c>
      <c r="C38" s="179" t="s">
        <v>11</v>
      </c>
      <c r="D38" s="232">
        <v>0</v>
      </c>
      <c r="E38" s="76">
        <v>24763.05</v>
      </c>
      <c r="F38" s="76">
        <f t="shared" ref="F38:F42" si="4">E38*1.1</f>
        <v>27239.355000000003</v>
      </c>
      <c r="G38" s="79">
        <f t="shared" ref="G38:G42" si="5">F38*D38</f>
        <v>0</v>
      </c>
    </row>
    <row r="39" spans="1:7" s="37" customFormat="1" ht="24.9" customHeight="1">
      <c r="A39" s="175" t="s">
        <v>72</v>
      </c>
      <c r="B39" s="176" t="s">
        <v>65</v>
      </c>
      <c r="C39" s="179" t="s">
        <v>11</v>
      </c>
      <c r="D39" s="232">
        <v>2</v>
      </c>
      <c r="E39" s="76">
        <v>17631.5</v>
      </c>
      <c r="F39" s="76">
        <f t="shared" si="4"/>
        <v>19394.650000000001</v>
      </c>
      <c r="G39" s="79">
        <f t="shared" si="5"/>
        <v>38789.300000000003</v>
      </c>
    </row>
    <row r="40" spans="1:7" s="37" customFormat="1" ht="24.9" customHeight="1">
      <c r="A40" s="175" t="s">
        <v>74</v>
      </c>
      <c r="B40" s="176" t="s">
        <v>76</v>
      </c>
      <c r="C40" s="179" t="s">
        <v>11</v>
      </c>
      <c r="D40" s="232">
        <v>1</v>
      </c>
      <c r="E40" s="76">
        <v>10597.16</v>
      </c>
      <c r="F40" s="76">
        <f t="shared" si="4"/>
        <v>11656.876</v>
      </c>
      <c r="G40" s="79">
        <f t="shared" si="5"/>
        <v>11656.876</v>
      </c>
    </row>
    <row r="41" spans="1:7" s="37" customFormat="1" ht="24.9" customHeight="1">
      <c r="A41" s="175" t="s">
        <v>75</v>
      </c>
      <c r="B41" s="176" t="s">
        <v>77</v>
      </c>
      <c r="C41" s="179" t="s">
        <v>11</v>
      </c>
      <c r="D41" s="232">
        <v>7</v>
      </c>
      <c r="E41" s="76">
        <f>3117-(3117*0.55/100)</f>
        <v>3099.8564999999999</v>
      </c>
      <c r="F41" s="76">
        <f t="shared" si="4"/>
        <v>3409.8421499999999</v>
      </c>
      <c r="G41" s="79">
        <f t="shared" si="5"/>
        <v>23868.895049999999</v>
      </c>
    </row>
    <row r="42" spans="1:7" s="37" customFormat="1" ht="24.9" customHeight="1">
      <c r="A42" s="175" t="s">
        <v>78</v>
      </c>
      <c r="B42" s="176" t="s">
        <v>69</v>
      </c>
      <c r="C42" s="179" t="s">
        <v>11</v>
      </c>
      <c r="D42" s="232">
        <v>3</v>
      </c>
      <c r="E42" s="76">
        <f>1798-(1798*0.55/100)</f>
        <v>1788.1110000000001</v>
      </c>
      <c r="F42" s="76">
        <f t="shared" si="4"/>
        <v>1966.9221000000002</v>
      </c>
      <c r="G42" s="79">
        <f t="shared" si="5"/>
        <v>5900.7663000000011</v>
      </c>
    </row>
    <row r="43" spans="1:7" s="37" customFormat="1" ht="24.9" customHeight="1">
      <c r="A43" s="162" t="s">
        <v>79</v>
      </c>
      <c r="B43" s="180" t="s">
        <v>80</v>
      </c>
      <c r="C43" s="75"/>
      <c r="D43" s="232"/>
      <c r="E43" s="76"/>
      <c r="F43" s="76"/>
      <c r="G43" s="79" t="s">
        <v>511</v>
      </c>
    </row>
    <row r="44" spans="1:7" s="37" customFormat="1" ht="24.9" hidden="1" customHeight="1">
      <c r="A44" s="175" t="s">
        <v>81</v>
      </c>
      <c r="B44" s="176" t="s">
        <v>82</v>
      </c>
      <c r="C44" s="179" t="s">
        <v>11</v>
      </c>
      <c r="D44" s="232">
        <v>0</v>
      </c>
      <c r="E44" s="76">
        <f>18350*1.2</f>
        <v>22020</v>
      </c>
      <c r="F44" s="76">
        <f t="shared" ref="F44:F45" si="6">E44*1.1</f>
        <v>24222.000000000004</v>
      </c>
      <c r="G44" s="79">
        <f t="shared" ref="G44:G45" si="7">F44*D44</f>
        <v>0</v>
      </c>
    </row>
    <row r="45" spans="1:7" s="37" customFormat="1" ht="24.9" customHeight="1">
      <c r="A45" s="175" t="s">
        <v>83</v>
      </c>
      <c r="B45" s="176" t="s">
        <v>84</v>
      </c>
      <c r="C45" s="179" t="s">
        <v>11</v>
      </c>
      <c r="D45" s="232">
        <v>1</v>
      </c>
      <c r="E45" s="76">
        <f>45416.25-(45416.25*0.55/100)</f>
        <v>45166.460625</v>
      </c>
      <c r="F45" s="76">
        <f t="shared" si="6"/>
        <v>49683.106687500003</v>
      </c>
      <c r="G45" s="79">
        <f t="shared" si="7"/>
        <v>49683.106687500003</v>
      </c>
    </row>
    <row r="46" spans="1:7" s="31" customFormat="1" ht="27" customHeight="1">
      <c r="A46" s="169" t="s">
        <v>85</v>
      </c>
      <c r="B46" s="177" t="s">
        <v>86</v>
      </c>
      <c r="C46" s="69"/>
      <c r="D46" s="181"/>
      <c r="E46" s="76"/>
      <c r="F46" s="76"/>
      <c r="G46" s="79" t="s">
        <v>511</v>
      </c>
    </row>
    <row r="47" spans="1:7" s="31" customFormat="1" ht="48.75" customHeight="1">
      <c r="A47" s="169"/>
      <c r="B47" s="70" t="s">
        <v>87</v>
      </c>
      <c r="C47" s="69"/>
      <c r="D47" s="181"/>
      <c r="E47" s="76"/>
      <c r="F47" s="76"/>
      <c r="G47" s="79" t="s">
        <v>511</v>
      </c>
    </row>
    <row r="48" spans="1:7" s="31" customFormat="1" ht="36" customHeight="1">
      <c r="A48" s="169"/>
      <c r="B48" s="70" t="s">
        <v>88</v>
      </c>
      <c r="C48" s="69"/>
      <c r="D48" s="181"/>
      <c r="E48" s="76"/>
      <c r="F48" s="76"/>
      <c r="G48" s="79" t="s">
        <v>511</v>
      </c>
    </row>
    <row r="49" spans="1:7" s="31" customFormat="1" ht="25.5" customHeight="1">
      <c r="A49" s="169" t="s">
        <v>89</v>
      </c>
      <c r="B49" s="177" t="s">
        <v>90</v>
      </c>
      <c r="C49" s="69"/>
      <c r="D49" s="181"/>
      <c r="E49" s="76"/>
      <c r="F49" s="76"/>
      <c r="G49" s="79" t="s">
        <v>511</v>
      </c>
    </row>
    <row r="50" spans="1:7" s="31" customFormat="1" ht="24" customHeight="1">
      <c r="A50" s="69" t="s">
        <v>215</v>
      </c>
      <c r="B50" s="176" t="s">
        <v>91</v>
      </c>
      <c r="C50" s="75" t="s">
        <v>12</v>
      </c>
      <c r="D50" s="232">
        <v>20</v>
      </c>
      <c r="E50" s="76">
        <f>1111.8-(1111.8*0.55/100)</f>
        <v>1105.6850999999999</v>
      </c>
      <c r="F50" s="76">
        <f t="shared" ref="F50:F53" si="8">E50*1.1</f>
        <v>1216.25361</v>
      </c>
      <c r="G50" s="79">
        <f t="shared" ref="G50:G53" si="9">F50*D50</f>
        <v>24325.072199999999</v>
      </c>
    </row>
    <row r="51" spans="1:7" s="31" customFormat="1" ht="24" hidden="1" customHeight="1">
      <c r="A51" s="69" t="s">
        <v>216</v>
      </c>
      <c r="B51" s="176" t="s">
        <v>92</v>
      </c>
      <c r="C51" s="75" t="s">
        <v>12</v>
      </c>
      <c r="D51" s="232">
        <v>0</v>
      </c>
      <c r="E51" s="76">
        <f>550.5*1.2</f>
        <v>660.6</v>
      </c>
      <c r="F51" s="76">
        <f t="shared" si="8"/>
        <v>726.66000000000008</v>
      </c>
      <c r="G51" s="79">
        <f t="shared" si="9"/>
        <v>0</v>
      </c>
    </row>
    <row r="52" spans="1:7" s="31" customFormat="1" ht="24" hidden="1" customHeight="1">
      <c r="A52" s="69" t="s">
        <v>217</v>
      </c>
      <c r="B52" s="176" t="s">
        <v>93</v>
      </c>
      <c r="C52" s="75" t="s">
        <v>12</v>
      </c>
      <c r="D52" s="232">
        <v>0</v>
      </c>
      <c r="E52" s="76">
        <v>636.86</v>
      </c>
      <c r="F52" s="76">
        <f t="shared" si="8"/>
        <v>700.54600000000005</v>
      </c>
      <c r="G52" s="79">
        <f t="shared" si="9"/>
        <v>0</v>
      </c>
    </row>
    <row r="53" spans="1:7" s="31" customFormat="1" ht="24" customHeight="1">
      <c r="A53" s="69" t="s">
        <v>214</v>
      </c>
      <c r="B53" s="176" t="s">
        <v>94</v>
      </c>
      <c r="C53" s="75" t="s">
        <v>12</v>
      </c>
      <c r="D53" s="232">
        <v>2</v>
      </c>
      <c r="E53" s="76">
        <f>458.75*1.2</f>
        <v>550.5</v>
      </c>
      <c r="F53" s="76">
        <f t="shared" si="8"/>
        <v>605.55000000000007</v>
      </c>
      <c r="G53" s="79">
        <f t="shared" si="9"/>
        <v>1211.1000000000001</v>
      </c>
    </row>
    <row r="54" spans="1:7" s="31" customFormat="1" ht="25.5" customHeight="1">
      <c r="A54" s="169" t="s">
        <v>95</v>
      </c>
      <c r="B54" s="177" t="s">
        <v>96</v>
      </c>
      <c r="C54" s="69"/>
      <c r="D54" s="181"/>
      <c r="E54" s="76"/>
      <c r="F54" s="76"/>
      <c r="G54" s="79" t="s">
        <v>511</v>
      </c>
    </row>
    <row r="55" spans="1:7" s="31" customFormat="1" ht="26.25" customHeight="1">
      <c r="A55" s="169" t="s">
        <v>97</v>
      </c>
      <c r="B55" s="182" t="s">
        <v>581</v>
      </c>
      <c r="C55" s="183"/>
      <c r="D55" s="232"/>
      <c r="E55" s="76"/>
      <c r="F55" s="76"/>
      <c r="G55" s="79" t="s">
        <v>511</v>
      </c>
    </row>
    <row r="56" spans="1:7" s="31" customFormat="1" ht="30" customHeight="1">
      <c r="A56" s="69" t="s">
        <v>98</v>
      </c>
      <c r="B56" s="184" t="s">
        <v>452</v>
      </c>
      <c r="C56" s="183" t="s">
        <v>11</v>
      </c>
      <c r="D56" s="232">
        <v>3</v>
      </c>
      <c r="E56" s="76">
        <f>3670*1.2</f>
        <v>4404</v>
      </c>
      <c r="F56" s="76">
        <f t="shared" ref="F56:F59" si="10">E56*1.1</f>
        <v>4844.4000000000005</v>
      </c>
      <c r="G56" s="79">
        <f t="shared" ref="G56:G59" si="11">F56*D56</f>
        <v>14533.2</v>
      </c>
    </row>
    <row r="57" spans="1:7" s="31" customFormat="1" ht="30" hidden="1" customHeight="1">
      <c r="A57" s="69" t="s">
        <v>99</v>
      </c>
      <c r="B57" s="184" t="s">
        <v>453</v>
      </c>
      <c r="C57" s="183" t="s">
        <v>11</v>
      </c>
      <c r="D57" s="232">
        <v>0</v>
      </c>
      <c r="E57" s="76">
        <f>4587.5*1.2</f>
        <v>5505</v>
      </c>
      <c r="F57" s="76">
        <f t="shared" si="10"/>
        <v>6055.5000000000009</v>
      </c>
      <c r="G57" s="79">
        <f t="shared" si="11"/>
        <v>0</v>
      </c>
    </row>
    <row r="58" spans="1:7" s="31" customFormat="1" ht="30" hidden="1" customHeight="1">
      <c r="A58" s="69" t="s">
        <v>100</v>
      </c>
      <c r="B58" s="70" t="s">
        <v>454</v>
      </c>
      <c r="C58" s="69" t="s">
        <v>11</v>
      </c>
      <c r="D58" s="232">
        <v>0</v>
      </c>
      <c r="E58" s="75">
        <f>9175*1.2</f>
        <v>11010</v>
      </c>
      <c r="F58" s="76">
        <f t="shared" si="10"/>
        <v>12111.000000000002</v>
      </c>
      <c r="G58" s="79">
        <f t="shared" si="11"/>
        <v>0</v>
      </c>
    </row>
    <row r="59" spans="1:7" s="31" customFormat="1" ht="30" hidden="1" customHeight="1">
      <c r="A59" s="69" t="s">
        <v>539</v>
      </c>
      <c r="B59" s="70" t="s">
        <v>582</v>
      </c>
      <c r="C59" s="69" t="s">
        <v>11</v>
      </c>
      <c r="D59" s="232">
        <v>0</v>
      </c>
      <c r="E59" s="75">
        <v>35000</v>
      </c>
      <c r="F59" s="76">
        <f t="shared" si="10"/>
        <v>38500</v>
      </c>
      <c r="G59" s="79">
        <f t="shared" si="11"/>
        <v>0</v>
      </c>
    </row>
    <row r="60" spans="1:7" s="31" customFormat="1" ht="24" hidden="1" customHeight="1">
      <c r="A60" s="169" t="s">
        <v>101</v>
      </c>
      <c r="B60" s="185" t="s">
        <v>102</v>
      </c>
      <c r="C60" s="183"/>
      <c r="D60" s="232">
        <v>0</v>
      </c>
      <c r="E60" s="76"/>
      <c r="F60" s="76"/>
      <c r="G60" s="79"/>
    </row>
    <row r="61" spans="1:7" s="31" customFormat="1" ht="24.9" hidden="1" customHeight="1">
      <c r="A61" s="69" t="s">
        <v>103</v>
      </c>
      <c r="B61" s="186" t="s">
        <v>455</v>
      </c>
      <c r="C61" s="183" t="s">
        <v>11</v>
      </c>
      <c r="D61" s="232">
        <v>0</v>
      </c>
      <c r="E61" s="76">
        <f>3670*1.2</f>
        <v>4404</v>
      </c>
      <c r="F61" s="76">
        <f t="shared" ref="F61:F64" si="12">E61*1.1</f>
        <v>4844.4000000000005</v>
      </c>
      <c r="G61" s="79">
        <f t="shared" ref="G61:G64" si="13">F61*D61</f>
        <v>0</v>
      </c>
    </row>
    <row r="62" spans="1:7" s="31" customFormat="1" ht="24.9" hidden="1" customHeight="1">
      <c r="A62" s="69" t="s">
        <v>104</v>
      </c>
      <c r="B62" s="186" t="s">
        <v>456</v>
      </c>
      <c r="C62" s="183" t="s">
        <v>11</v>
      </c>
      <c r="D62" s="232">
        <v>0</v>
      </c>
      <c r="E62" s="76">
        <f>5505*1.2</f>
        <v>6606</v>
      </c>
      <c r="F62" s="76">
        <f t="shared" si="12"/>
        <v>7266.6</v>
      </c>
      <c r="G62" s="79">
        <f t="shared" si="13"/>
        <v>0</v>
      </c>
    </row>
    <row r="63" spans="1:7" s="31" customFormat="1" ht="24.9" hidden="1" customHeight="1">
      <c r="A63" s="69" t="s">
        <v>105</v>
      </c>
      <c r="B63" s="186" t="s">
        <v>457</v>
      </c>
      <c r="C63" s="183" t="s">
        <v>11</v>
      </c>
      <c r="D63" s="232">
        <v>0</v>
      </c>
      <c r="E63" s="76">
        <f>9175*1.2</f>
        <v>11010</v>
      </c>
      <c r="F63" s="76">
        <f t="shared" si="12"/>
        <v>12111.000000000002</v>
      </c>
      <c r="G63" s="79">
        <f t="shared" si="13"/>
        <v>0</v>
      </c>
    </row>
    <row r="64" spans="1:7" s="31" customFormat="1" ht="24.9" hidden="1" customHeight="1">
      <c r="A64" s="69" t="s">
        <v>540</v>
      </c>
      <c r="B64" s="187" t="s">
        <v>565</v>
      </c>
      <c r="C64" s="183" t="s">
        <v>11</v>
      </c>
      <c r="D64" s="232">
        <v>0</v>
      </c>
      <c r="E64" s="76">
        <f>24003.98-(24003.98*0.55/100)</f>
        <v>23871.95811</v>
      </c>
      <c r="F64" s="76">
        <f t="shared" si="12"/>
        <v>26259.153921000001</v>
      </c>
      <c r="G64" s="79">
        <f t="shared" si="13"/>
        <v>0</v>
      </c>
    </row>
    <row r="65" spans="1:7" s="31" customFormat="1" ht="28.5" customHeight="1">
      <c r="A65" s="169" t="s">
        <v>106</v>
      </c>
      <c r="B65" s="185" t="s">
        <v>107</v>
      </c>
      <c r="C65" s="183"/>
      <c r="D65" s="232"/>
      <c r="E65" s="76"/>
      <c r="F65" s="76"/>
      <c r="G65" s="79" t="s">
        <v>511</v>
      </c>
    </row>
    <row r="66" spans="1:7" s="31" customFormat="1" ht="24" customHeight="1">
      <c r="A66" s="169" t="s">
        <v>108</v>
      </c>
      <c r="B66" s="182" t="s">
        <v>109</v>
      </c>
      <c r="C66" s="183"/>
      <c r="D66" s="232"/>
      <c r="E66" s="76"/>
      <c r="F66" s="76"/>
      <c r="G66" s="79" t="s">
        <v>511</v>
      </c>
    </row>
    <row r="67" spans="1:7" s="31" customFormat="1" ht="24" hidden="1" customHeight="1">
      <c r="A67" s="69" t="s">
        <v>110</v>
      </c>
      <c r="B67" s="184" t="s">
        <v>555</v>
      </c>
      <c r="C67" s="183" t="s">
        <v>11</v>
      </c>
      <c r="D67" s="233">
        <v>0</v>
      </c>
      <c r="E67" s="76">
        <f>1678.6-(1678.6*0.55/100)</f>
        <v>1669.3677</v>
      </c>
      <c r="F67" s="76">
        <f t="shared" ref="F67:F70" si="14">E67*1.1</f>
        <v>1836.3044700000003</v>
      </c>
      <c r="G67" s="79">
        <f t="shared" ref="G67:G70" si="15">F67*D67</f>
        <v>0</v>
      </c>
    </row>
    <row r="68" spans="1:7" s="31" customFormat="1" ht="36" hidden="1" customHeight="1">
      <c r="A68" s="69" t="s">
        <v>111</v>
      </c>
      <c r="B68" s="184" t="s">
        <v>458</v>
      </c>
      <c r="C68" s="183" t="s">
        <v>11</v>
      </c>
      <c r="D68" s="233">
        <v>0</v>
      </c>
      <c r="E68" s="76">
        <v>1434.68</v>
      </c>
      <c r="F68" s="76">
        <f t="shared" si="14"/>
        <v>1578.1480000000001</v>
      </c>
      <c r="G68" s="79">
        <f t="shared" si="15"/>
        <v>0</v>
      </c>
    </row>
    <row r="69" spans="1:7" s="31" customFormat="1" ht="36.75" hidden="1" customHeight="1">
      <c r="A69" s="69" t="s">
        <v>579</v>
      </c>
      <c r="B69" s="184" t="s">
        <v>459</v>
      </c>
      <c r="C69" s="183" t="s">
        <v>11</v>
      </c>
      <c r="D69" s="232">
        <v>0</v>
      </c>
      <c r="E69" s="76">
        <v>1200</v>
      </c>
      <c r="F69" s="76">
        <f t="shared" si="14"/>
        <v>1320</v>
      </c>
      <c r="G69" s="79">
        <f t="shared" si="15"/>
        <v>0</v>
      </c>
    </row>
    <row r="70" spans="1:7" s="31" customFormat="1" ht="48.75" customHeight="1">
      <c r="A70" s="69" t="s">
        <v>542</v>
      </c>
      <c r="B70" s="184" t="s">
        <v>460</v>
      </c>
      <c r="C70" s="183" t="s">
        <v>11</v>
      </c>
      <c r="D70" s="232">
        <v>2</v>
      </c>
      <c r="E70" s="76">
        <f>1187-(1187*0.55/100)</f>
        <v>1180.4715000000001</v>
      </c>
      <c r="F70" s="76">
        <f t="shared" si="14"/>
        <v>1298.5186500000002</v>
      </c>
      <c r="G70" s="79">
        <f t="shared" si="15"/>
        <v>2597.0373000000004</v>
      </c>
    </row>
    <row r="71" spans="1:7" s="31" customFormat="1" ht="28.5" hidden="1" customHeight="1">
      <c r="A71" s="169" t="s">
        <v>112</v>
      </c>
      <c r="B71" s="182" t="s">
        <v>113</v>
      </c>
      <c r="C71" s="183"/>
      <c r="D71" s="232">
        <v>0</v>
      </c>
      <c r="E71" s="76"/>
      <c r="F71" s="76"/>
      <c r="G71" s="79">
        <f t="shared" ref="G71:G78" si="16">E71*D71</f>
        <v>0</v>
      </c>
    </row>
    <row r="72" spans="1:7" s="31" customFormat="1" ht="28.5" hidden="1" customHeight="1">
      <c r="A72" s="69" t="s">
        <v>114</v>
      </c>
      <c r="B72" s="184" t="s">
        <v>556</v>
      </c>
      <c r="C72" s="183" t="s">
        <v>11</v>
      </c>
      <c r="D72" s="232">
        <v>0</v>
      </c>
      <c r="E72" s="76">
        <v>1500</v>
      </c>
      <c r="F72" s="76">
        <f>E72*1.1</f>
        <v>1650.0000000000002</v>
      </c>
      <c r="G72" s="79">
        <f>F72*D72</f>
        <v>0</v>
      </c>
    </row>
    <row r="73" spans="1:7" s="31" customFormat="1" ht="27.75" customHeight="1">
      <c r="A73" s="169" t="s">
        <v>115</v>
      </c>
      <c r="B73" s="185" t="s">
        <v>116</v>
      </c>
      <c r="C73" s="183"/>
      <c r="D73" s="232"/>
      <c r="E73" s="76"/>
      <c r="F73" s="76"/>
      <c r="G73" s="79" t="s">
        <v>511</v>
      </c>
    </row>
    <row r="74" spans="1:7" s="31" customFormat="1" ht="34.5" hidden="1" customHeight="1">
      <c r="A74" s="169" t="s">
        <v>117</v>
      </c>
      <c r="B74" s="185" t="s">
        <v>118</v>
      </c>
      <c r="C74" s="183"/>
      <c r="D74" s="232">
        <v>0</v>
      </c>
      <c r="E74" s="76"/>
      <c r="F74" s="76"/>
      <c r="G74" s="79">
        <f t="shared" si="16"/>
        <v>0</v>
      </c>
    </row>
    <row r="75" spans="1:7" s="31" customFormat="1" ht="27.75" hidden="1" customHeight="1">
      <c r="A75" s="69" t="s">
        <v>543</v>
      </c>
      <c r="B75" s="188" t="s">
        <v>119</v>
      </c>
      <c r="C75" s="183" t="s">
        <v>11</v>
      </c>
      <c r="D75" s="232">
        <v>0</v>
      </c>
      <c r="E75" s="76">
        <f>298.19*1.2</f>
        <v>357.82799999999997</v>
      </c>
      <c r="F75" s="76">
        <f t="shared" ref="F75:F77" si="17">E75*1.1</f>
        <v>393.61079999999998</v>
      </c>
      <c r="G75" s="79">
        <f t="shared" ref="G75:G77" si="18">F75*D75</f>
        <v>0</v>
      </c>
    </row>
    <row r="76" spans="1:7" s="31" customFormat="1" ht="34.5" hidden="1" customHeight="1">
      <c r="A76" s="69" t="s">
        <v>120</v>
      </c>
      <c r="B76" s="188" t="s">
        <v>121</v>
      </c>
      <c r="C76" s="183" t="s">
        <v>11</v>
      </c>
      <c r="D76" s="232">
        <v>0</v>
      </c>
      <c r="E76" s="76">
        <f>192.68*1.2</f>
        <v>231.21600000000001</v>
      </c>
      <c r="F76" s="76">
        <f t="shared" si="17"/>
        <v>254.33760000000004</v>
      </c>
      <c r="G76" s="79">
        <f t="shared" si="18"/>
        <v>0</v>
      </c>
    </row>
    <row r="77" spans="1:7" s="31" customFormat="1" ht="29.25" hidden="1" customHeight="1">
      <c r="A77" s="69" t="s">
        <v>122</v>
      </c>
      <c r="B77" s="188" t="s">
        <v>123</v>
      </c>
      <c r="C77" s="183" t="s">
        <v>11</v>
      </c>
      <c r="D77" s="232">
        <v>0</v>
      </c>
      <c r="E77" s="76">
        <f>183.5*1.2</f>
        <v>220.2</v>
      </c>
      <c r="F77" s="76">
        <f t="shared" si="17"/>
        <v>242.22</v>
      </c>
      <c r="G77" s="79">
        <f t="shared" si="18"/>
        <v>0</v>
      </c>
    </row>
    <row r="78" spans="1:7" s="31" customFormat="1" ht="27.75" hidden="1" customHeight="1">
      <c r="A78" s="169" t="s">
        <v>124</v>
      </c>
      <c r="B78" s="185" t="s">
        <v>125</v>
      </c>
      <c r="C78" s="183"/>
      <c r="D78" s="232">
        <v>0</v>
      </c>
      <c r="E78" s="76"/>
      <c r="F78" s="76"/>
      <c r="G78" s="79">
        <f t="shared" si="16"/>
        <v>0</v>
      </c>
    </row>
    <row r="79" spans="1:7" s="31" customFormat="1" ht="27.75" hidden="1" customHeight="1">
      <c r="A79" s="69" t="s">
        <v>126</v>
      </c>
      <c r="B79" s="189" t="s">
        <v>557</v>
      </c>
      <c r="C79" s="183" t="s">
        <v>11</v>
      </c>
      <c r="D79" s="232">
        <v>0</v>
      </c>
      <c r="E79" s="76">
        <v>3740.88</v>
      </c>
      <c r="F79" s="76">
        <f t="shared" ref="F79:F81" si="19">E79*1.1</f>
        <v>4114.9680000000008</v>
      </c>
      <c r="G79" s="79">
        <f t="shared" ref="G79:G81" si="20">F79*D79</f>
        <v>0</v>
      </c>
    </row>
    <row r="80" spans="1:7" s="31" customFormat="1" ht="34.5" hidden="1" customHeight="1">
      <c r="A80" s="69" t="s">
        <v>128</v>
      </c>
      <c r="B80" s="188" t="s">
        <v>127</v>
      </c>
      <c r="C80" s="183" t="s">
        <v>11</v>
      </c>
      <c r="D80" s="232">
        <v>0</v>
      </c>
      <c r="E80" s="76">
        <f>504.63*1.2</f>
        <v>605.55599999999993</v>
      </c>
      <c r="F80" s="76">
        <f t="shared" si="19"/>
        <v>666.11159999999995</v>
      </c>
      <c r="G80" s="79">
        <f t="shared" si="20"/>
        <v>0</v>
      </c>
    </row>
    <row r="81" spans="1:7" s="31" customFormat="1" ht="27.75" hidden="1" customHeight="1">
      <c r="A81" s="69" t="s">
        <v>128</v>
      </c>
      <c r="B81" s="188" t="s">
        <v>129</v>
      </c>
      <c r="C81" s="183" t="s">
        <v>11</v>
      </c>
      <c r="D81" s="232">
        <v>0</v>
      </c>
      <c r="E81" s="76">
        <f>779.88*1.2</f>
        <v>935.85599999999999</v>
      </c>
      <c r="F81" s="76">
        <f t="shared" si="19"/>
        <v>1029.4416000000001</v>
      </c>
      <c r="G81" s="79">
        <f t="shared" si="20"/>
        <v>0</v>
      </c>
    </row>
    <row r="82" spans="1:7" s="31" customFormat="1" ht="29.25" customHeight="1">
      <c r="A82" s="169" t="s">
        <v>130</v>
      </c>
      <c r="B82" s="190" t="s">
        <v>131</v>
      </c>
      <c r="C82" s="183"/>
      <c r="D82" s="232"/>
      <c r="E82" s="76"/>
      <c r="F82" s="76"/>
      <c r="G82" s="79" t="s">
        <v>511</v>
      </c>
    </row>
    <row r="83" spans="1:7" s="31" customFormat="1" ht="27.75" hidden="1" customHeight="1">
      <c r="A83" s="69" t="s">
        <v>132</v>
      </c>
      <c r="B83" s="188" t="s">
        <v>133</v>
      </c>
      <c r="C83" s="183" t="s">
        <v>11</v>
      </c>
      <c r="D83" s="232">
        <v>0</v>
      </c>
      <c r="E83" s="76">
        <f>367*1.2</f>
        <v>440.4</v>
      </c>
      <c r="F83" s="76">
        <f t="shared" ref="F83:F91" si="21">E83*1.1</f>
        <v>484.44</v>
      </c>
      <c r="G83" s="79">
        <f>F83*D83</f>
        <v>0</v>
      </c>
    </row>
    <row r="84" spans="1:7" s="31" customFormat="1" ht="27.75" hidden="1" customHeight="1">
      <c r="A84" s="69" t="s">
        <v>134</v>
      </c>
      <c r="B84" s="188" t="s">
        <v>135</v>
      </c>
      <c r="C84" s="183" t="s">
        <v>11</v>
      </c>
      <c r="D84" s="232">
        <v>0</v>
      </c>
      <c r="E84" s="76">
        <f>367*1.2</f>
        <v>440.4</v>
      </c>
      <c r="F84" s="76">
        <f t="shared" si="21"/>
        <v>484.44</v>
      </c>
      <c r="G84" s="79">
        <f t="shared" ref="G84:G91" si="22">F84*D84</f>
        <v>0</v>
      </c>
    </row>
    <row r="85" spans="1:7" s="31" customFormat="1" ht="27.75" hidden="1" customHeight="1">
      <c r="A85" s="69" t="s">
        <v>136</v>
      </c>
      <c r="B85" s="188" t="s">
        <v>137</v>
      </c>
      <c r="C85" s="183" t="s">
        <v>11</v>
      </c>
      <c r="D85" s="232">
        <v>0</v>
      </c>
      <c r="E85" s="76">
        <f>596.3*1.2</f>
        <v>715.56</v>
      </c>
      <c r="F85" s="76">
        <f t="shared" si="21"/>
        <v>787.11599999999999</v>
      </c>
      <c r="G85" s="79">
        <f t="shared" si="22"/>
        <v>0</v>
      </c>
    </row>
    <row r="86" spans="1:7" s="31" customFormat="1" ht="27.75" hidden="1" customHeight="1">
      <c r="A86" s="69" t="s">
        <v>138</v>
      </c>
      <c r="B86" s="188" t="s">
        <v>139</v>
      </c>
      <c r="C86" s="183" t="s">
        <v>11</v>
      </c>
      <c r="D86" s="232">
        <v>0</v>
      </c>
      <c r="E86" s="76">
        <f>367*1.2</f>
        <v>440.4</v>
      </c>
      <c r="F86" s="76">
        <f t="shared" si="21"/>
        <v>484.44</v>
      </c>
      <c r="G86" s="79">
        <f t="shared" si="22"/>
        <v>0</v>
      </c>
    </row>
    <row r="87" spans="1:7" s="31" customFormat="1" ht="27.75" hidden="1" customHeight="1">
      <c r="A87" s="69" t="s">
        <v>140</v>
      </c>
      <c r="B87" s="188" t="s">
        <v>141</v>
      </c>
      <c r="C87" s="183" t="s">
        <v>11</v>
      </c>
      <c r="D87" s="232">
        <v>0</v>
      </c>
      <c r="E87" s="76">
        <f>367*1.2</f>
        <v>440.4</v>
      </c>
      <c r="F87" s="76">
        <f t="shared" si="21"/>
        <v>484.44</v>
      </c>
      <c r="G87" s="79">
        <f t="shared" si="22"/>
        <v>0</v>
      </c>
    </row>
    <row r="88" spans="1:7" s="31" customFormat="1" ht="27.75" customHeight="1">
      <c r="A88" s="69" t="s">
        <v>142</v>
      </c>
      <c r="B88" s="188" t="s">
        <v>143</v>
      </c>
      <c r="C88" s="183" t="s">
        <v>11</v>
      </c>
      <c r="D88" s="232">
        <v>2</v>
      </c>
      <c r="E88" s="76">
        <f>550.5*1.2</f>
        <v>660.6</v>
      </c>
      <c r="F88" s="76">
        <f t="shared" si="21"/>
        <v>726.66000000000008</v>
      </c>
      <c r="G88" s="79">
        <f t="shared" si="22"/>
        <v>1453.3200000000002</v>
      </c>
    </row>
    <row r="89" spans="1:7" s="31" customFormat="1" ht="27.75" hidden="1" customHeight="1">
      <c r="A89" s="69" t="s">
        <v>144</v>
      </c>
      <c r="B89" s="188" t="s">
        <v>145</v>
      </c>
      <c r="C89" s="183" t="s">
        <v>11</v>
      </c>
      <c r="D89" s="232">
        <v>0</v>
      </c>
      <c r="E89" s="76">
        <f>275.25*1.2</f>
        <v>330.3</v>
      </c>
      <c r="F89" s="76">
        <f t="shared" si="21"/>
        <v>363.33000000000004</v>
      </c>
      <c r="G89" s="79">
        <f t="shared" si="22"/>
        <v>0</v>
      </c>
    </row>
    <row r="90" spans="1:7" s="31" customFormat="1" ht="27.75" hidden="1" customHeight="1">
      <c r="A90" s="69" t="s">
        <v>146</v>
      </c>
      <c r="B90" s="188" t="s">
        <v>147</v>
      </c>
      <c r="C90" s="183" t="s">
        <v>11</v>
      </c>
      <c r="D90" s="232">
        <v>0</v>
      </c>
      <c r="E90" s="76">
        <f>275.25*1.2</f>
        <v>330.3</v>
      </c>
      <c r="F90" s="76">
        <f t="shared" si="21"/>
        <v>363.33000000000004</v>
      </c>
      <c r="G90" s="79">
        <f t="shared" si="22"/>
        <v>0</v>
      </c>
    </row>
    <row r="91" spans="1:7" s="31" customFormat="1" ht="27.75" customHeight="1">
      <c r="A91" s="69" t="s">
        <v>148</v>
      </c>
      <c r="B91" s="188" t="s">
        <v>149</v>
      </c>
      <c r="C91" s="183" t="s">
        <v>11</v>
      </c>
      <c r="D91" s="232">
        <v>2</v>
      </c>
      <c r="E91" s="76">
        <f>229.38*1.2</f>
        <v>275.25599999999997</v>
      </c>
      <c r="F91" s="76">
        <f t="shared" si="21"/>
        <v>302.78159999999997</v>
      </c>
      <c r="G91" s="79">
        <f t="shared" si="22"/>
        <v>605.56319999999994</v>
      </c>
    </row>
    <row r="92" spans="1:7" s="31" customFormat="1" ht="34.5" customHeight="1">
      <c r="A92" s="169" t="s">
        <v>150</v>
      </c>
      <c r="B92" s="178" t="s">
        <v>151</v>
      </c>
      <c r="C92" s="183"/>
      <c r="D92" s="232"/>
      <c r="E92" s="76"/>
      <c r="F92" s="76"/>
      <c r="G92" s="79" t="s">
        <v>511</v>
      </c>
    </row>
    <row r="93" spans="1:7" s="31" customFormat="1" ht="27.75" hidden="1" customHeight="1">
      <c r="A93" s="69" t="s">
        <v>152</v>
      </c>
      <c r="B93" s="188" t="s">
        <v>153</v>
      </c>
      <c r="C93" s="183" t="s">
        <v>11</v>
      </c>
      <c r="D93" s="232">
        <v>0</v>
      </c>
      <c r="E93" s="76">
        <f>779.88*1.2</f>
        <v>935.85599999999999</v>
      </c>
      <c r="F93" s="76">
        <f t="shared" ref="F93:F94" si="23">E93*1.1</f>
        <v>1029.4416000000001</v>
      </c>
      <c r="G93" s="79">
        <f t="shared" ref="G93:G94" si="24">F93*D93</f>
        <v>0</v>
      </c>
    </row>
    <row r="94" spans="1:7" s="31" customFormat="1" ht="27.75" customHeight="1">
      <c r="A94" s="69" t="s">
        <v>154</v>
      </c>
      <c r="B94" s="188" t="s">
        <v>155</v>
      </c>
      <c r="C94" s="183" t="s">
        <v>11</v>
      </c>
      <c r="D94" s="232">
        <v>4</v>
      </c>
      <c r="E94" s="76">
        <f>596.38*1.2</f>
        <v>715.65599999999995</v>
      </c>
      <c r="F94" s="76">
        <f t="shared" si="23"/>
        <v>787.22159999999997</v>
      </c>
      <c r="G94" s="79">
        <f t="shared" si="24"/>
        <v>3148.8863999999999</v>
      </c>
    </row>
    <row r="95" spans="1:7" s="31" customFormat="1" ht="27.75" hidden="1" customHeight="1">
      <c r="A95" s="169" t="s">
        <v>210</v>
      </c>
      <c r="B95" s="185" t="s">
        <v>209</v>
      </c>
      <c r="C95" s="183"/>
      <c r="D95" s="232">
        <v>0</v>
      </c>
      <c r="E95" s="76"/>
      <c r="F95" s="76"/>
      <c r="G95" s="79">
        <f t="shared" ref="G82:G107" si="25">E95*D95</f>
        <v>0</v>
      </c>
    </row>
    <row r="96" spans="1:7" s="31" customFormat="1" ht="56.25" hidden="1" customHeight="1">
      <c r="A96" s="143" t="s">
        <v>211</v>
      </c>
      <c r="B96" s="176" t="s">
        <v>213</v>
      </c>
      <c r="C96" s="183"/>
      <c r="D96" s="232">
        <v>0</v>
      </c>
      <c r="E96" s="76"/>
      <c r="F96" s="76"/>
      <c r="G96" s="79">
        <f t="shared" si="25"/>
        <v>0</v>
      </c>
    </row>
    <row r="97" spans="1:7" s="31" customFormat="1" ht="27.75" hidden="1" customHeight="1">
      <c r="A97" s="143" t="s">
        <v>212</v>
      </c>
      <c r="B97" s="191" t="s">
        <v>220</v>
      </c>
      <c r="C97" s="143" t="s">
        <v>8</v>
      </c>
      <c r="D97" s="192">
        <v>0</v>
      </c>
      <c r="E97" s="76">
        <f>114687.5*1.2</f>
        <v>137625</v>
      </c>
      <c r="F97" s="76">
        <f>E97*1.1</f>
        <v>151387.5</v>
      </c>
      <c r="G97" s="79">
        <f>F97*D97</f>
        <v>0</v>
      </c>
    </row>
    <row r="98" spans="1:7" s="31" customFormat="1" ht="27.75" customHeight="1">
      <c r="A98" s="169" t="s">
        <v>545</v>
      </c>
      <c r="B98" s="178" t="s">
        <v>546</v>
      </c>
      <c r="C98" s="183"/>
      <c r="D98" s="232"/>
      <c r="E98" s="76"/>
      <c r="F98" s="76"/>
      <c r="G98" s="79" t="s">
        <v>511</v>
      </c>
    </row>
    <row r="99" spans="1:7" s="31" customFormat="1" ht="27.75" customHeight="1">
      <c r="A99" s="69" t="s">
        <v>547</v>
      </c>
      <c r="B99" s="191" t="s">
        <v>548</v>
      </c>
      <c r="C99" s="183" t="s">
        <v>11</v>
      </c>
      <c r="D99" s="232">
        <v>2</v>
      </c>
      <c r="E99" s="76">
        <f>850-(850*0.55/100)</f>
        <v>845.32500000000005</v>
      </c>
      <c r="F99" s="76">
        <f>E99*1.1</f>
        <v>929.85750000000007</v>
      </c>
      <c r="G99" s="79">
        <f>F99*D99</f>
        <v>1859.7150000000001</v>
      </c>
    </row>
    <row r="100" spans="1:7" s="34" customFormat="1" ht="21.75" customHeight="1">
      <c r="A100" s="162" t="s">
        <v>156</v>
      </c>
      <c r="B100" s="174" t="s">
        <v>157</v>
      </c>
      <c r="C100" s="175"/>
      <c r="D100" s="232"/>
      <c r="E100" s="76"/>
      <c r="F100" s="76"/>
      <c r="G100" s="79" t="s">
        <v>511</v>
      </c>
    </row>
    <row r="101" spans="1:7" s="34" customFormat="1" ht="95.25" customHeight="1">
      <c r="A101" s="162"/>
      <c r="B101" s="176" t="s">
        <v>158</v>
      </c>
      <c r="C101" s="175"/>
      <c r="D101" s="232"/>
      <c r="E101" s="76"/>
      <c r="F101" s="76"/>
      <c r="G101" s="79" t="s">
        <v>511</v>
      </c>
    </row>
    <row r="102" spans="1:7" s="39" customFormat="1" ht="19.5" customHeight="1">
      <c r="A102" s="175" t="s">
        <v>159</v>
      </c>
      <c r="B102" s="176" t="s">
        <v>160</v>
      </c>
      <c r="C102" s="175" t="s">
        <v>161</v>
      </c>
      <c r="D102" s="232">
        <v>40</v>
      </c>
      <c r="E102" s="76">
        <f>1266-(1266*0.55/100)</f>
        <v>1259.037</v>
      </c>
      <c r="F102" s="76">
        <f t="shared" ref="F102:F106" si="26">E102*1.1</f>
        <v>1384.9407000000001</v>
      </c>
      <c r="G102" s="79">
        <f t="shared" ref="G101:G106" si="27">F102*D102</f>
        <v>55397.628000000004</v>
      </c>
    </row>
    <row r="103" spans="1:7" s="39" customFormat="1" ht="19.5" customHeight="1">
      <c r="A103" s="175" t="s">
        <v>162</v>
      </c>
      <c r="B103" s="176" t="s">
        <v>163</v>
      </c>
      <c r="C103" s="175" t="s">
        <v>161</v>
      </c>
      <c r="D103" s="232">
        <v>20</v>
      </c>
      <c r="E103" s="76">
        <f>1582-(1582*0.55/100)</f>
        <v>1573.299</v>
      </c>
      <c r="F103" s="76">
        <f t="shared" si="26"/>
        <v>1730.6289000000002</v>
      </c>
      <c r="G103" s="79">
        <f t="shared" si="27"/>
        <v>34612.578000000001</v>
      </c>
    </row>
    <row r="104" spans="1:7" s="39" customFormat="1" ht="19.5" customHeight="1">
      <c r="A104" s="175" t="s">
        <v>553</v>
      </c>
      <c r="B104" s="176" t="s">
        <v>552</v>
      </c>
      <c r="C104" s="175" t="s">
        <v>161</v>
      </c>
      <c r="D104" s="232">
        <v>20</v>
      </c>
      <c r="E104" s="76">
        <f>2880-(2880*0.55/100)</f>
        <v>2864.16</v>
      </c>
      <c r="F104" s="76">
        <f t="shared" si="26"/>
        <v>3150.576</v>
      </c>
      <c r="G104" s="79">
        <f t="shared" si="27"/>
        <v>63011.520000000004</v>
      </c>
    </row>
    <row r="105" spans="1:7" s="34" customFormat="1" ht="19.5" hidden="1" customHeight="1">
      <c r="A105" s="175" t="s">
        <v>164</v>
      </c>
      <c r="B105" s="176" t="s">
        <v>549</v>
      </c>
      <c r="C105" s="175" t="s">
        <v>161</v>
      </c>
      <c r="D105" s="232">
        <v>0</v>
      </c>
      <c r="E105" s="76">
        <v>1813.05</v>
      </c>
      <c r="F105" s="76">
        <f t="shared" si="26"/>
        <v>1994.355</v>
      </c>
      <c r="G105" s="79">
        <f t="shared" si="27"/>
        <v>0</v>
      </c>
    </row>
    <row r="106" spans="1:7" s="34" customFormat="1" ht="19.5" hidden="1" customHeight="1">
      <c r="A106" s="175" t="s">
        <v>554</v>
      </c>
      <c r="B106" s="176" t="s">
        <v>165</v>
      </c>
      <c r="C106" s="175" t="s">
        <v>161</v>
      </c>
      <c r="D106" s="232">
        <v>0</v>
      </c>
      <c r="E106" s="76">
        <v>4951.46</v>
      </c>
      <c r="F106" s="76">
        <f t="shared" si="26"/>
        <v>5446.6060000000007</v>
      </c>
      <c r="G106" s="79">
        <f t="shared" si="27"/>
        <v>0</v>
      </c>
    </row>
    <row r="107" spans="1:7" s="34" customFormat="1" ht="42.75" customHeight="1">
      <c r="A107" s="142" t="s">
        <v>166</v>
      </c>
      <c r="B107" s="193" t="s">
        <v>224</v>
      </c>
      <c r="C107" s="143"/>
      <c r="D107" s="194"/>
      <c r="E107" s="76"/>
      <c r="F107" s="76"/>
      <c r="G107" s="79" t="s">
        <v>511</v>
      </c>
    </row>
    <row r="108" spans="1:7" s="34" customFormat="1" ht="126.75" customHeight="1">
      <c r="A108" s="195"/>
      <c r="B108" s="155" t="s">
        <v>204</v>
      </c>
      <c r="C108" s="143" t="s">
        <v>205</v>
      </c>
      <c r="D108" s="194">
        <v>8</v>
      </c>
      <c r="E108" s="76">
        <f>7913-(7913*0.55/100)</f>
        <v>7869.4785000000002</v>
      </c>
      <c r="F108" s="76">
        <f>E108*1.1</f>
        <v>8656.4263500000015</v>
      </c>
      <c r="G108" s="79">
        <f t="shared" ref="G108" si="28">F108*D108</f>
        <v>69251.410800000012</v>
      </c>
    </row>
    <row r="109" spans="1:7" s="63" customFormat="1" ht="46.5" customHeight="1">
      <c r="A109" s="196" t="s">
        <v>167</v>
      </c>
      <c r="B109" s="197" t="s">
        <v>206</v>
      </c>
      <c r="C109" s="198"/>
      <c r="D109" s="198"/>
      <c r="E109" s="199"/>
      <c r="F109" s="199"/>
      <c r="G109" s="200"/>
    </row>
    <row r="110" spans="1:7" s="63" customFormat="1" ht="100.5" customHeight="1">
      <c r="A110" s="196"/>
      <c r="B110" s="201" t="s">
        <v>558</v>
      </c>
      <c r="C110" s="198"/>
      <c r="D110" s="198"/>
      <c r="E110" s="199"/>
      <c r="F110" s="199"/>
      <c r="G110" s="200"/>
    </row>
    <row r="111" spans="1:7" s="63" customFormat="1" ht="24" customHeight="1">
      <c r="A111" s="202" t="s">
        <v>170</v>
      </c>
      <c r="B111" s="203" t="s">
        <v>559</v>
      </c>
      <c r="C111" s="194" t="s">
        <v>11</v>
      </c>
      <c r="D111" s="194">
        <v>1</v>
      </c>
      <c r="E111" s="199">
        <f>75000-(75000*0.55/100)</f>
        <v>74587.5</v>
      </c>
      <c r="F111" s="76">
        <f t="shared" ref="F111:F114" si="29">E111*1.1</f>
        <v>82046.25</v>
      </c>
      <c r="G111" s="79">
        <f t="shared" ref="G111:G114" si="30">F111*D111</f>
        <v>82046.25</v>
      </c>
    </row>
    <row r="112" spans="1:7" s="63" customFormat="1" ht="18.75" customHeight="1">
      <c r="A112" s="202" t="s">
        <v>171</v>
      </c>
      <c r="B112" s="203" t="s">
        <v>560</v>
      </c>
      <c r="C112" s="194" t="s">
        <v>11</v>
      </c>
      <c r="D112" s="194">
        <v>1</v>
      </c>
      <c r="E112" s="199">
        <f>45000-(45000*0.55/100)</f>
        <v>44752.5</v>
      </c>
      <c r="F112" s="76">
        <f t="shared" si="29"/>
        <v>49227.750000000007</v>
      </c>
      <c r="G112" s="79">
        <f t="shared" si="30"/>
        <v>49227.750000000007</v>
      </c>
    </row>
    <row r="113" spans="1:7" s="34" customFormat="1" ht="24" customHeight="1">
      <c r="A113" s="194" t="s">
        <v>170</v>
      </c>
      <c r="B113" s="204" t="s">
        <v>561</v>
      </c>
      <c r="C113" s="192" t="s">
        <v>528</v>
      </c>
      <c r="D113" s="194">
        <v>2000</v>
      </c>
      <c r="E113" s="76">
        <f>132-(132*0.55/100)</f>
        <v>131.274</v>
      </c>
      <c r="F113" s="76">
        <f t="shared" si="29"/>
        <v>144.40140000000002</v>
      </c>
      <c r="G113" s="79">
        <f t="shared" si="30"/>
        <v>288802.80000000005</v>
      </c>
    </row>
    <row r="114" spans="1:7" s="34" customFormat="1" ht="18.75" customHeight="1">
      <c r="A114" s="194" t="s">
        <v>171</v>
      </c>
      <c r="B114" s="204" t="s">
        <v>562</v>
      </c>
      <c r="C114" s="192" t="s">
        <v>528</v>
      </c>
      <c r="D114" s="194">
        <v>2000</v>
      </c>
      <c r="E114" s="76">
        <f>54-(54*0.55/100)</f>
        <v>53.703000000000003</v>
      </c>
      <c r="F114" s="76">
        <f t="shared" si="29"/>
        <v>59.07330000000001</v>
      </c>
      <c r="G114" s="79">
        <f t="shared" si="30"/>
        <v>118146.60000000002</v>
      </c>
    </row>
    <row r="115" spans="1:7" s="63" customFormat="1" ht="184.8">
      <c r="A115" s="198"/>
      <c r="B115" s="204" t="s">
        <v>566</v>
      </c>
      <c r="C115" s="205"/>
      <c r="D115" s="205"/>
      <c r="E115" s="199"/>
      <c r="F115" s="199"/>
      <c r="G115" s="200"/>
    </row>
    <row r="116" spans="1:7" s="34" customFormat="1" ht="51" customHeight="1">
      <c r="A116" s="198" t="s">
        <v>172</v>
      </c>
      <c r="B116" s="206" t="s">
        <v>529</v>
      </c>
      <c r="C116" s="205" t="s">
        <v>253</v>
      </c>
      <c r="D116" s="194"/>
      <c r="E116" s="76" t="s">
        <v>530</v>
      </c>
      <c r="F116" s="76"/>
      <c r="G116" s="79"/>
    </row>
    <row r="117" spans="1:7" s="34" customFormat="1" ht="21.75" customHeight="1">
      <c r="A117" s="162" t="s">
        <v>174</v>
      </c>
      <c r="B117" s="174" t="s">
        <v>168</v>
      </c>
      <c r="C117" s="175"/>
      <c r="D117" s="232"/>
      <c r="E117" s="76"/>
      <c r="F117" s="76"/>
      <c r="G117" s="79" t="s">
        <v>511</v>
      </c>
    </row>
    <row r="118" spans="1:7" s="34" customFormat="1" ht="18.75" customHeight="1">
      <c r="A118" s="162"/>
      <c r="B118" s="174" t="s">
        <v>169</v>
      </c>
      <c r="C118" s="175"/>
      <c r="D118" s="232"/>
      <c r="E118" s="76"/>
      <c r="F118" s="76"/>
      <c r="G118" s="79" t="s">
        <v>511</v>
      </c>
    </row>
    <row r="119" spans="1:7" s="34" customFormat="1">
      <c r="A119" s="232" t="s">
        <v>179</v>
      </c>
      <c r="B119" s="234" t="s">
        <v>208</v>
      </c>
      <c r="C119" s="232" t="s">
        <v>13</v>
      </c>
      <c r="D119" s="232">
        <v>1</v>
      </c>
      <c r="E119" s="76">
        <f>34171-(34171*0.55/100)</f>
        <v>33983.059500000003</v>
      </c>
      <c r="F119" s="76">
        <f t="shared" ref="F119:F122" si="31">E119*1.1</f>
        <v>37381.365450000005</v>
      </c>
      <c r="G119" s="79">
        <f t="shared" ref="G119:G122" si="32">F119*D119</f>
        <v>37381.365450000005</v>
      </c>
    </row>
    <row r="120" spans="1:7" s="34" customFormat="1">
      <c r="A120" s="232" t="s">
        <v>531</v>
      </c>
      <c r="B120" s="234" t="s">
        <v>563</v>
      </c>
      <c r="C120" s="232" t="s">
        <v>13</v>
      </c>
      <c r="D120" s="232">
        <v>1</v>
      </c>
      <c r="E120" s="76">
        <v>30000</v>
      </c>
      <c r="F120" s="76">
        <f t="shared" si="31"/>
        <v>33000</v>
      </c>
      <c r="G120" s="79">
        <f t="shared" si="32"/>
        <v>33000</v>
      </c>
    </row>
    <row r="121" spans="1:7" s="34" customFormat="1">
      <c r="A121" s="232" t="s">
        <v>532</v>
      </c>
      <c r="B121" s="234" t="s">
        <v>463</v>
      </c>
      <c r="C121" s="232" t="s">
        <v>13</v>
      </c>
      <c r="D121" s="232">
        <v>2</v>
      </c>
      <c r="E121" s="76">
        <f>18200-(18200*0.55/100)</f>
        <v>18099.900000000001</v>
      </c>
      <c r="F121" s="76">
        <f t="shared" si="31"/>
        <v>19909.890000000003</v>
      </c>
      <c r="G121" s="79">
        <f t="shared" si="32"/>
        <v>39819.780000000006</v>
      </c>
    </row>
    <row r="122" spans="1:7" s="34" customFormat="1">
      <c r="A122" s="232" t="s">
        <v>564</v>
      </c>
      <c r="B122" s="234" t="s">
        <v>173</v>
      </c>
      <c r="C122" s="232" t="s">
        <v>9</v>
      </c>
      <c r="D122" s="232">
        <v>1</v>
      </c>
      <c r="E122" s="76">
        <f>15826-(15826*0.55/100)</f>
        <v>15738.957</v>
      </c>
      <c r="F122" s="76">
        <f t="shared" si="31"/>
        <v>17312.852700000003</v>
      </c>
      <c r="G122" s="79">
        <f t="shared" si="32"/>
        <v>17312.852700000003</v>
      </c>
    </row>
    <row r="123" spans="1:7" s="34" customFormat="1" ht="44.25" customHeight="1">
      <c r="A123" s="162" t="s">
        <v>181</v>
      </c>
      <c r="B123" s="177" t="s">
        <v>175</v>
      </c>
      <c r="C123" s="175"/>
      <c r="D123" s="232"/>
      <c r="E123" s="76"/>
      <c r="F123" s="76"/>
      <c r="G123" s="79" t="s">
        <v>511</v>
      </c>
    </row>
    <row r="124" spans="1:7" s="34" customFormat="1" ht="24.75" customHeight="1">
      <c r="A124" s="162"/>
      <c r="B124" s="176" t="s">
        <v>176</v>
      </c>
      <c r="C124" s="175"/>
      <c r="D124" s="232"/>
      <c r="E124" s="76"/>
      <c r="F124" s="76"/>
      <c r="G124" s="79" t="s">
        <v>511</v>
      </c>
    </row>
    <row r="125" spans="1:7" s="34" customFormat="1" ht="77.25" customHeight="1">
      <c r="A125" s="162"/>
      <c r="B125" s="70" t="s">
        <v>570</v>
      </c>
      <c r="C125" s="175"/>
      <c r="D125" s="232"/>
      <c r="E125" s="76"/>
      <c r="F125" s="76"/>
      <c r="G125" s="79" t="s">
        <v>511</v>
      </c>
    </row>
    <row r="126" spans="1:7" s="34" customFormat="1" ht="51" customHeight="1">
      <c r="A126" s="162"/>
      <c r="B126" s="70" t="s">
        <v>177</v>
      </c>
      <c r="C126" s="175"/>
      <c r="D126" s="232"/>
      <c r="E126" s="76"/>
      <c r="F126" s="76"/>
      <c r="G126" s="79" t="s">
        <v>511</v>
      </c>
    </row>
    <row r="127" spans="1:7" s="34" customFormat="1" ht="51.75" customHeight="1">
      <c r="A127" s="162"/>
      <c r="B127" s="176" t="s">
        <v>569</v>
      </c>
      <c r="C127" s="175"/>
      <c r="D127" s="232"/>
      <c r="E127" s="76"/>
      <c r="F127" s="76"/>
      <c r="G127" s="79" t="s">
        <v>511</v>
      </c>
    </row>
    <row r="128" spans="1:7" s="34" customFormat="1" ht="45" customHeight="1">
      <c r="A128" s="162"/>
      <c r="B128" s="70" t="s">
        <v>43</v>
      </c>
      <c r="C128" s="175"/>
      <c r="D128" s="232"/>
      <c r="E128" s="76"/>
      <c r="F128" s="76"/>
      <c r="G128" s="79" t="s">
        <v>511</v>
      </c>
    </row>
    <row r="129" spans="1:7" s="34" customFormat="1" ht="27" customHeight="1">
      <c r="A129" s="162"/>
      <c r="B129" s="70" t="s">
        <v>178</v>
      </c>
      <c r="C129" s="175"/>
      <c r="D129" s="232"/>
      <c r="E129" s="76"/>
      <c r="F129" s="76"/>
      <c r="G129" s="79" t="s">
        <v>511</v>
      </c>
    </row>
    <row r="130" spans="1:7" s="34" customFormat="1" ht="24.75" customHeight="1">
      <c r="A130" s="162"/>
      <c r="B130" s="70" t="s">
        <v>46</v>
      </c>
      <c r="C130" s="175"/>
      <c r="D130" s="232"/>
      <c r="E130" s="76"/>
      <c r="F130" s="76"/>
      <c r="G130" s="79" t="s">
        <v>511</v>
      </c>
    </row>
    <row r="131" spans="1:7" s="34" customFormat="1" ht="36.75" customHeight="1">
      <c r="A131" s="162"/>
      <c r="B131" s="70" t="s">
        <v>48</v>
      </c>
      <c r="C131" s="175"/>
      <c r="D131" s="232"/>
      <c r="E131" s="76"/>
      <c r="F131" s="76"/>
      <c r="G131" s="79" t="s">
        <v>511</v>
      </c>
    </row>
    <row r="132" spans="1:7" s="34" customFormat="1" ht="18.75" customHeight="1">
      <c r="A132" s="175" t="s">
        <v>184</v>
      </c>
      <c r="B132" s="176" t="s">
        <v>567</v>
      </c>
      <c r="C132" s="75" t="s">
        <v>180</v>
      </c>
      <c r="D132" s="232">
        <v>16</v>
      </c>
      <c r="E132" s="76">
        <f>3027.02-(3027*0.55/100)</f>
        <v>3010.3715000000002</v>
      </c>
      <c r="F132" s="76">
        <f t="shared" ref="F132:F133" si="33">E132*1.1</f>
        <v>3311.4086500000003</v>
      </c>
      <c r="G132" s="79">
        <f t="shared" ref="G132:G133" si="34">F132*D132</f>
        <v>52982.538400000005</v>
      </c>
    </row>
    <row r="133" spans="1:7" s="34" customFormat="1" ht="18.75" hidden="1" customHeight="1">
      <c r="A133" s="175" t="s">
        <v>580</v>
      </c>
      <c r="B133" s="176" t="s">
        <v>568</v>
      </c>
      <c r="C133" s="75" t="s">
        <v>180</v>
      </c>
      <c r="D133" s="232">
        <v>0</v>
      </c>
      <c r="E133" s="76">
        <v>4500</v>
      </c>
      <c r="F133" s="76">
        <f t="shared" si="33"/>
        <v>4950</v>
      </c>
      <c r="G133" s="79">
        <f t="shared" si="34"/>
        <v>0</v>
      </c>
    </row>
    <row r="134" spans="1:7" s="34" customFormat="1" ht="29.25" customHeight="1">
      <c r="A134" s="169" t="s">
        <v>188</v>
      </c>
      <c r="B134" s="185" t="s">
        <v>182</v>
      </c>
      <c r="C134" s="69"/>
      <c r="D134" s="232"/>
      <c r="E134" s="76"/>
      <c r="F134" s="76"/>
      <c r="G134" s="79" t="s">
        <v>511</v>
      </c>
    </row>
    <row r="135" spans="1:7" s="34" customFormat="1" ht="169.2" customHeight="1">
      <c r="A135" s="175"/>
      <c r="B135" s="70" t="s">
        <v>183</v>
      </c>
      <c r="C135" s="69"/>
      <c r="D135" s="232"/>
      <c r="E135" s="76"/>
      <c r="F135" s="76"/>
      <c r="G135" s="79">
        <f t="shared" ref="G117:G146" si="35">E135*D135</f>
        <v>0</v>
      </c>
    </row>
    <row r="136" spans="1:7" s="34" customFormat="1" ht="45.75" hidden="1" customHeight="1">
      <c r="A136" s="175" t="s">
        <v>191</v>
      </c>
      <c r="B136" s="184" t="s">
        <v>185</v>
      </c>
      <c r="C136" s="69" t="s">
        <v>186</v>
      </c>
      <c r="D136" s="232">
        <v>0</v>
      </c>
      <c r="E136" s="76">
        <v>250000</v>
      </c>
      <c r="F136" s="76">
        <f t="shared" ref="F136:F137" si="36">E136*1.1</f>
        <v>275000</v>
      </c>
      <c r="G136" s="79">
        <f t="shared" ref="G136:G137" si="37">F136*D136</f>
        <v>0</v>
      </c>
    </row>
    <row r="137" spans="1:7" s="34" customFormat="1" ht="50.25" customHeight="1">
      <c r="A137" s="175" t="s">
        <v>533</v>
      </c>
      <c r="B137" s="207" t="s">
        <v>187</v>
      </c>
      <c r="C137" s="69" t="s">
        <v>186</v>
      </c>
      <c r="D137" s="232">
        <v>1</v>
      </c>
      <c r="E137" s="76">
        <f>239800-(239800*0.55/100)</f>
        <v>238481.1</v>
      </c>
      <c r="F137" s="76">
        <f t="shared" si="36"/>
        <v>262329.21000000002</v>
      </c>
      <c r="G137" s="79">
        <f t="shared" si="37"/>
        <v>262329.21000000002</v>
      </c>
    </row>
    <row r="138" spans="1:7" s="34" customFormat="1" ht="29.25" hidden="1" customHeight="1">
      <c r="A138" s="169" t="s">
        <v>534</v>
      </c>
      <c r="B138" s="185" t="s">
        <v>464</v>
      </c>
      <c r="C138" s="69"/>
      <c r="D138" s="232">
        <v>0</v>
      </c>
      <c r="E138" s="76"/>
      <c r="F138" s="76"/>
      <c r="G138" s="79">
        <f t="shared" si="35"/>
        <v>0</v>
      </c>
    </row>
    <row r="139" spans="1:7" s="34" customFormat="1" ht="66" hidden="1">
      <c r="A139" s="175" t="s">
        <v>535</v>
      </c>
      <c r="B139" s="70" t="s">
        <v>465</v>
      </c>
      <c r="C139" s="69" t="s">
        <v>205</v>
      </c>
      <c r="D139" s="232">
        <v>0</v>
      </c>
      <c r="E139" s="76">
        <f>45875*1.2</f>
        <v>55050</v>
      </c>
      <c r="F139" s="76">
        <f>E139*1.1</f>
        <v>60555.000000000007</v>
      </c>
      <c r="G139" s="79">
        <f t="shared" ref="G139" si="38">F139*D139</f>
        <v>0</v>
      </c>
    </row>
    <row r="140" spans="1:7" s="40" customFormat="1" ht="36.75" customHeight="1">
      <c r="A140" s="169" t="s">
        <v>194</v>
      </c>
      <c r="B140" s="185" t="s">
        <v>189</v>
      </c>
      <c r="C140" s="69"/>
      <c r="D140" s="232"/>
      <c r="E140" s="76"/>
      <c r="F140" s="76"/>
      <c r="G140" s="79" t="s">
        <v>511</v>
      </c>
    </row>
    <row r="141" spans="1:7" s="40" customFormat="1" ht="105" customHeight="1">
      <c r="A141" s="175"/>
      <c r="B141" s="208" t="s">
        <v>190</v>
      </c>
      <c r="C141" s="69"/>
      <c r="D141" s="232"/>
      <c r="E141" s="76"/>
      <c r="F141" s="76"/>
      <c r="G141" s="79" t="s">
        <v>511</v>
      </c>
    </row>
    <row r="142" spans="1:7" s="40" customFormat="1" ht="33.75" customHeight="1">
      <c r="A142" s="175" t="s">
        <v>196</v>
      </c>
      <c r="B142" s="209" t="s">
        <v>192</v>
      </c>
      <c r="C142" s="69" t="s">
        <v>193</v>
      </c>
      <c r="D142" s="232">
        <v>0.1</v>
      </c>
      <c r="E142" s="76">
        <f>136248.2-(136248.2*0.55/100)</f>
        <v>135498.83490000002</v>
      </c>
      <c r="F142" s="76">
        <f>E142*1.1</f>
        <v>149048.71839000002</v>
      </c>
      <c r="G142" s="79">
        <f t="shared" ref="G142" si="39">F142*D142</f>
        <v>14904.871839000003</v>
      </c>
    </row>
    <row r="143" spans="1:7" s="34" customFormat="1" ht="33" customHeight="1">
      <c r="A143" s="169" t="s">
        <v>225</v>
      </c>
      <c r="B143" s="177" t="s">
        <v>195</v>
      </c>
      <c r="C143" s="175"/>
      <c r="D143" s="232"/>
      <c r="E143" s="76"/>
      <c r="F143" s="76"/>
      <c r="G143" s="79" t="s">
        <v>511</v>
      </c>
    </row>
    <row r="144" spans="1:7" s="34" customFormat="1" ht="36" customHeight="1">
      <c r="A144" s="175" t="s">
        <v>536</v>
      </c>
      <c r="B144" s="70" t="s">
        <v>207</v>
      </c>
      <c r="C144" s="210" t="s">
        <v>197</v>
      </c>
      <c r="D144" s="232">
        <v>100</v>
      </c>
      <c r="E144" s="76">
        <f>261.6-(261.6*0.55/100)</f>
        <v>260.16120000000001</v>
      </c>
      <c r="F144" s="76">
        <f>E144*1.1</f>
        <v>286.17732000000001</v>
      </c>
      <c r="G144" s="79">
        <f t="shared" ref="G144" si="40">F144*D144</f>
        <v>28617.732</v>
      </c>
    </row>
    <row r="145" spans="1:7" s="34" customFormat="1" ht="65.25" customHeight="1">
      <c r="A145" s="175"/>
      <c r="B145" s="70" t="s">
        <v>198</v>
      </c>
      <c r="C145" s="175"/>
      <c r="D145" s="232"/>
      <c r="E145" s="76"/>
      <c r="F145" s="76"/>
      <c r="G145" s="79" t="s">
        <v>511</v>
      </c>
    </row>
    <row r="146" spans="1:7" s="34" customFormat="1" ht="29.25" customHeight="1">
      <c r="A146" s="169" t="s">
        <v>537</v>
      </c>
      <c r="B146" s="185" t="s">
        <v>226</v>
      </c>
      <c r="C146" s="69"/>
      <c r="D146" s="232"/>
      <c r="E146" s="76"/>
      <c r="F146" s="76"/>
      <c r="G146" s="79" t="s">
        <v>511</v>
      </c>
    </row>
    <row r="147" spans="1:7" s="34" customFormat="1" ht="141.75" customHeight="1">
      <c r="A147" s="175" t="s">
        <v>538</v>
      </c>
      <c r="B147" s="70" t="s">
        <v>227</v>
      </c>
      <c r="C147" s="69" t="s">
        <v>228</v>
      </c>
      <c r="D147" s="232">
        <v>1</v>
      </c>
      <c r="E147" s="76">
        <f>100925-(100925*0.55/100)</f>
        <v>100369.91250000001</v>
      </c>
      <c r="F147" s="76">
        <f>E147*1.1</f>
        <v>110406.90375000001</v>
      </c>
      <c r="G147" s="79">
        <f t="shared" ref="G147" si="41">F147*D147</f>
        <v>110406.90375000001</v>
      </c>
    </row>
    <row r="148" spans="1:7" s="34" customFormat="1" ht="30" customHeight="1">
      <c r="A148" s="32"/>
      <c r="B148" s="35"/>
      <c r="C148" s="32"/>
      <c r="D148" s="33"/>
      <c r="E148" s="36"/>
      <c r="F148" s="36"/>
      <c r="G148" s="71"/>
    </row>
    <row r="149" spans="1:7" s="34" customFormat="1" ht="33" customHeight="1">
      <c r="A149" s="318" t="s">
        <v>199</v>
      </c>
      <c r="B149" s="318"/>
      <c r="C149" s="319"/>
      <c r="D149" s="319"/>
      <c r="E149" s="77"/>
      <c r="F149" s="77"/>
      <c r="G149" s="72">
        <f>ROUND(SUM(G7:G148),2)</f>
        <v>2045823.69</v>
      </c>
    </row>
    <row r="150" spans="1:7" s="31" customFormat="1">
      <c r="A150" s="320"/>
      <c r="B150" s="320"/>
      <c r="C150" s="320"/>
      <c r="D150" s="320"/>
      <c r="E150" s="320"/>
      <c r="F150" s="320"/>
      <c r="G150" s="320"/>
    </row>
  </sheetData>
  <sheetProtection password="CEE5" sheet="1" objects="1" scenarios="1" formatCells="0" formatColumns="0" formatRows="0"/>
  <autoFilter ref="D1:D150">
    <filterColumn colId="0">
      <filters blank="1">
        <filter val="(2)"/>
        <filter val="0.1"/>
        <filter val="1"/>
        <filter val="100"/>
        <filter val="16"/>
        <filter val="2"/>
        <filter val="20"/>
        <filter val="2000"/>
        <filter val="3"/>
        <filter val="30"/>
        <filter val="4"/>
        <filter val="40"/>
        <filter val="7"/>
        <filter val="8"/>
        <filter val="Qty."/>
      </filters>
    </filterColumn>
  </autoFilter>
  <mergeCells count="7">
    <mergeCell ref="A149:B149"/>
    <mergeCell ref="C149:D149"/>
    <mergeCell ref="A150:G150"/>
    <mergeCell ref="B1:G1"/>
    <mergeCell ref="A2:G2"/>
    <mergeCell ref="A3:G3"/>
    <mergeCell ref="A4:G4"/>
  </mergeCells>
  <printOptions horizontalCentered="1"/>
  <pageMargins left="0" right="0" top="0.35433070866141736" bottom="0.35433070866141736" header="0.31496062992125984" footer="0.27559055118110237"/>
  <pageSetup paperSize="9" scale="52" orientation="landscape" r:id="rId1"/>
  <headerFooter>
    <oddFooter>&amp;R&amp;10Page &amp;P of &amp;N</oddFooter>
  </headerFooter>
  <rowBreaks count="1" manualBreakCount="1">
    <brk id="126" max="7" man="1"/>
  </rowBreaks>
  <drawing r:id="rId2"/>
</worksheet>
</file>

<file path=xl/worksheets/sheet6.xml><?xml version="1.0" encoding="utf-8"?>
<worksheet xmlns="http://schemas.openxmlformats.org/spreadsheetml/2006/main" xmlns:r="http://schemas.openxmlformats.org/officeDocument/2006/relationships">
  <sheetPr filterMode="1">
    <tabColor rgb="FF92D050"/>
  </sheetPr>
  <dimension ref="A1:G316"/>
  <sheetViews>
    <sheetView view="pageBreakPreview" topLeftCell="A55" zoomScale="70" zoomScaleNormal="90" zoomScaleSheetLayoutView="70" workbookViewId="0">
      <selection activeCell="H60" sqref="H60"/>
    </sheetView>
  </sheetViews>
  <sheetFormatPr defaultRowHeight="13.2"/>
  <cols>
    <col min="1" max="1" width="22.44140625" style="45" customWidth="1"/>
    <col min="2" max="2" width="95.44140625" style="44" customWidth="1"/>
    <col min="3" max="3" width="6" style="49" customWidth="1"/>
    <col min="4" max="4" width="8.88671875" style="51" customWidth="1"/>
    <col min="5" max="5" width="1.44140625" style="81" hidden="1" customWidth="1"/>
    <col min="6" max="6" width="35.6640625" style="81" customWidth="1"/>
    <col min="7" max="7" width="36.5546875" style="83" customWidth="1"/>
    <col min="8" max="254" width="9.109375" style="44"/>
    <col min="255" max="255" width="6.6640625" style="44" customWidth="1"/>
    <col min="256" max="256" width="13.33203125" style="44" customWidth="1"/>
    <col min="257" max="257" width="98.33203125" style="44" customWidth="1"/>
    <col min="258" max="258" width="6.109375" style="44" customWidth="1"/>
    <col min="259" max="259" width="9.33203125" style="44" customWidth="1"/>
    <col min="260" max="260" width="15.44140625" style="44" customWidth="1"/>
    <col min="261" max="261" width="13.109375" style="44" customWidth="1"/>
    <col min="262" max="262" width="11.88671875" style="44" customWidth="1"/>
    <col min="263" max="510" width="9.109375" style="44"/>
    <col min="511" max="511" width="6.6640625" style="44" customWidth="1"/>
    <col min="512" max="512" width="13.33203125" style="44" customWidth="1"/>
    <col min="513" max="513" width="98.33203125" style="44" customWidth="1"/>
    <col min="514" max="514" width="6.109375" style="44" customWidth="1"/>
    <col min="515" max="515" width="9.33203125" style="44" customWidth="1"/>
    <col min="516" max="516" width="15.44140625" style="44" customWidth="1"/>
    <col min="517" max="517" width="13.109375" style="44" customWidth="1"/>
    <col min="518" max="518" width="11.88671875" style="44" customWidth="1"/>
    <col min="519" max="766" width="9.109375" style="44"/>
    <col min="767" max="767" width="6.6640625" style="44" customWidth="1"/>
    <col min="768" max="768" width="13.33203125" style="44" customWidth="1"/>
    <col min="769" max="769" width="98.33203125" style="44" customWidth="1"/>
    <col min="770" max="770" width="6.109375" style="44" customWidth="1"/>
    <col min="771" max="771" width="9.33203125" style="44" customWidth="1"/>
    <col min="772" max="772" width="15.44140625" style="44" customWidth="1"/>
    <col min="773" max="773" width="13.109375" style="44" customWidth="1"/>
    <col min="774" max="774" width="11.88671875" style="44" customWidth="1"/>
    <col min="775" max="1022" width="9.109375" style="44"/>
    <col min="1023" max="1023" width="6.6640625" style="44" customWidth="1"/>
    <col min="1024" max="1024" width="13.33203125" style="44" customWidth="1"/>
    <col min="1025" max="1025" width="98.33203125" style="44" customWidth="1"/>
    <col min="1026" max="1026" width="6.109375" style="44" customWidth="1"/>
    <col min="1027" max="1027" width="9.33203125" style="44" customWidth="1"/>
    <col min="1028" max="1028" width="15.44140625" style="44" customWidth="1"/>
    <col min="1029" max="1029" width="13.109375" style="44" customWidth="1"/>
    <col min="1030" max="1030" width="11.88671875" style="44" customWidth="1"/>
    <col min="1031" max="1278" width="9.109375" style="44"/>
    <col min="1279" max="1279" width="6.6640625" style="44" customWidth="1"/>
    <col min="1280" max="1280" width="13.33203125" style="44" customWidth="1"/>
    <col min="1281" max="1281" width="98.33203125" style="44" customWidth="1"/>
    <col min="1282" max="1282" width="6.109375" style="44" customWidth="1"/>
    <col min="1283" max="1283" width="9.33203125" style="44" customWidth="1"/>
    <col min="1284" max="1284" width="15.44140625" style="44" customWidth="1"/>
    <col min="1285" max="1285" width="13.109375" style="44" customWidth="1"/>
    <col min="1286" max="1286" width="11.88671875" style="44" customWidth="1"/>
    <col min="1287" max="1534" width="9.109375" style="44"/>
    <col min="1535" max="1535" width="6.6640625" style="44" customWidth="1"/>
    <col min="1536" max="1536" width="13.33203125" style="44" customWidth="1"/>
    <col min="1537" max="1537" width="98.33203125" style="44" customWidth="1"/>
    <col min="1538" max="1538" width="6.109375" style="44" customWidth="1"/>
    <col min="1539" max="1539" width="9.33203125" style="44" customWidth="1"/>
    <col min="1540" max="1540" width="15.44140625" style="44" customWidth="1"/>
    <col min="1541" max="1541" width="13.109375" style="44" customWidth="1"/>
    <col min="1542" max="1542" width="11.88671875" style="44" customWidth="1"/>
    <col min="1543" max="1790" width="9.109375" style="44"/>
    <col min="1791" max="1791" width="6.6640625" style="44" customWidth="1"/>
    <col min="1792" max="1792" width="13.33203125" style="44" customWidth="1"/>
    <col min="1793" max="1793" width="98.33203125" style="44" customWidth="1"/>
    <col min="1794" max="1794" width="6.109375" style="44" customWidth="1"/>
    <col min="1795" max="1795" width="9.33203125" style="44" customWidth="1"/>
    <col min="1796" max="1796" width="15.44140625" style="44" customWidth="1"/>
    <col min="1797" max="1797" width="13.109375" style="44" customWidth="1"/>
    <col min="1798" max="1798" width="11.88671875" style="44" customWidth="1"/>
    <col min="1799" max="2046" width="9.109375" style="44"/>
    <col min="2047" max="2047" width="6.6640625" style="44" customWidth="1"/>
    <col min="2048" max="2048" width="13.33203125" style="44" customWidth="1"/>
    <col min="2049" max="2049" width="98.33203125" style="44" customWidth="1"/>
    <col min="2050" max="2050" width="6.109375" style="44" customWidth="1"/>
    <col min="2051" max="2051" width="9.33203125" style="44" customWidth="1"/>
    <col min="2052" max="2052" width="15.44140625" style="44" customWidth="1"/>
    <col min="2053" max="2053" width="13.109375" style="44" customWidth="1"/>
    <col min="2054" max="2054" width="11.88671875" style="44" customWidth="1"/>
    <col min="2055" max="2302" width="9.109375" style="44"/>
    <col min="2303" max="2303" width="6.6640625" style="44" customWidth="1"/>
    <col min="2304" max="2304" width="13.33203125" style="44" customWidth="1"/>
    <col min="2305" max="2305" width="98.33203125" style="44" customWidth="1"/>
    <col min="2306" max="2306" width="6.109375" style="44" customWidth="1"/>
    <col min="2307" max="2307" width="9.33203125" style="44" customWidth="1"/>
    <col min="2308" max="2308" width="15.44140625" style="44" customWidth="1"/>
    <col min="2309" max="2309" width="13.109375" style="44" customWidth="1"/>
    <col min="2310" max="2310" width="11.88671875" style="44" customWidth="1"/>
    <col min="2311" max="2558" width="9.109375" style="44"/>
    <col min="2559" max="2559" width="6.6640625" style="44" customWidth="1"/>
    <col min="2560" max="2560" width="13.33203125" style="44" customWidth="1"/>
    <col min="2561" max="2561" width="98.33203125" style="44" customWidth="1"/>
    <col min="2562" max="2562" width="6.109375" style="44" customWidth="1"/>
    <col min="2563" max="2563" width="9.33203125" style="44" customWidth="1"/>
    <col min="2564" max="2564" width="15.44140625" style="44" customWidth="1"/>
    <col min="2565" max="2565" width="13.109375" style="44" customWidth="1"/>
    <col min="2566" max="2566" width="11.88671875" style="44" customWidth="1"/>
    <col min="2567" max="2814" width="9.109375" style="44"/>
    <col min="2815" max="2815" width="6.6640625" style="44" customWidth="1"/>
    <col min="2816" max="2816" width="13.33203125" style="44" customWidth="1"/>
    <col min="2817" max="2817" width="98.33203125" style="44" customWidth="1"/>
    <col min="2818" max="2818" width="6.109375" style="44" customWidth="1"/>
    <col min="2819" max="2819" width="9.33203125" style="44" customWidth="1"/>
    <col min="2820" max="2820" width="15.44140625" style="44" customWidth="1"/>
    <col min="2821" max="2821" width="13.109375" style="44" customWidth="1"/>
    <col min="2822" max="2822" width="11.88671875" style="44" customWidth="1"/>
    <col min="2823" max="3070" width="9.109375" style="44"/>
    <col min="3071" max="3071" width="6.6640625" style="44" customWidth="1"/>
    <col min="3072" max="3072" width="13.33203125" style="44" customWidth="1"/>
    <col min="3073" max="3073" width="98.33203125" style="44" customWidth="1"/>
    <col min="3074" max="3074" width="6.109375" style="44" customWidth="1"/>
    <col min="3075" max="3075" width="9.33203125" style="44" customWidth="1"/>
    <col min="3076" max="3076" width="15.44140625" style="44" customWidth="1"/>
    <col min="3077" max="3077" width="13.109375" style="44" customWidth="1"/>
    <col min="3078" max="3078" width="11.88671875" style="44" customWidth="1"/>
    <col min="3079" max="3326" width="9.109375" style="44"/>
    <col min="3327" max="3327" width="6.6640625" style="44" customWidth="1"/>
    <col min="3328" max="3328" width="13.33203125" style="44" customWidth="1"/>
    <col min="3329" max="3329" width="98.33203125" style="44" customWidth="1"/>
    <col min="3330" max="3330" width="6.109375" style="44" customWidth="1"/>
    <col min="3331" max="3331" width="9.33203125" style="44" customWidth="1"/>
    <col min="3332" max="3332" width="15.44140625" style="44" customWidth="1"/>
    <col min="3333" max="3333" width="13.109375" style="44" customWidth="1"/>
    <col min="3334" max="3334" width="11.88671875" style="44" customWidth="1"/>
    <col min="3335" max="3582" width="9.109375" style="44"/>
    <col min="3583" max="3583" width="6.6640625" style="44" customWidth="1"/>
    <col min="3584" max="3584" width="13.33203125" style="44" customWidth="1"/>
    <col min="3585" max="3585" width="98.33203125" style="44" customWidth="1"/>
    <col min="3586" max="3586" width="6.109375" style="44" customWidth="1"/>
    <col min="3587" max="3587" width="9.33203125" style="44" customWidth="1"/>
    <col min="3588" max="3588" width="15.44140625" style="44" customWidth="1"/>
    <col min="3589" max="3589" width="13.109375" style="44" customWidth="1"/>
    <col min="3590" max="3590" width="11.88671875" style="44" customWidth="1"/>
    <col min="3591" max="3838" width="9.109375" style="44"/>
    <col min="3839" max="3839" width="6.6640625" style="44" customWidth="1"/>
    <col min="3840" max="3840" width="13.33203125" style="44" customWidth="1"/>
    <col min="3841" max="3841" width="98.33203125" style="44" customWidth="1"/>
    <col min="3842" max="3842" width="6.109375" style="44" customWidth="1"/>
    <col min="3843" max="3843" width="9.33203125" style="44" customWidth="1"/>
    <col min="3844" max="3844" width="15.44140625" style="44" customWidth="1"/>
    <col min="3845" max="3845" width="13.109375" style="44" customWidth="1"/>
    <col min="3846" max="3846" width="11.88671875" style="44" customWidth="1"/>
    <col min="3847" max="4094" width="9.109375" style="44"/>
    <col min="4095" max="4095" width="6.6640625" style="44" customWidth="1"/>
    <col min="4096" max="4096" width="13.33203125" style="44" customWidth="1"/>
    <col min="4097" max="4097" width="98.33203125" style="44" customWidth="1"/>
    <col min="4098" max="4098" width="6.109375" style="44" customWidth="1"/>
    <col min="4099" max="4099" width="9.33203125" style="44" customWidth="1"/>
    <col min="4100" max="4100" width="15.44140625" style="44" customWidth="1"/>
    <col min="4101" max="4101" width="13.109375" style="44" customWidth="1"/>
    <col min="4102" max="4102" width="11.88671875" style="44" customWidth="1"/>
    <col min="4103" max="4350" width="9.109375" style="44"/>
    <col min="4351" max="4351" width="6.6640625" style="44" customWidth="1"/>
    <col min="4352" max="4352" width="13.33203125" style="44" customWidth="1"/>
    <col min="4353" max="4353" width="98.33203125" style="44" customWidth="1"/>
    <col min="4354" max="4354" width="6.109375" style="44" customWidth="1"/>
    <col min="4355" max="4355" width="9.33203125" style="44" customWidth="1"/>
    <col min="4356" max="4356" width="15.44140625" style="44" customWidth="1"/>
    <col min="4357" max="4357" width="13.109375" style="44" customWidth="1"/>
    <col min="4358" max="4358" width="11.88671875" style="44" customWidth="1"/>
    <col min="4359" max="4606" width="9.109375" style="44"/>
    <col min="4607" max="4607" width="6.6640625" style="44" customWidth="1"/>
    <col min="4608" max="4608" width="13.33203125" style="44" customWidth="1"/>
    <col min="4609" max="4609" width="98.33203125" style="44" customWidth="1"/>
    <col min="4610" max="4610" width="6.109375" style="44" customWidth="1"/>
    <col min="4611" max="4611" width="9.33203125" style="44" customWidth="1"/>
    <col min="4612" max="4612" width="15.44140625" style="44" customWidth="1"/>
    <col min="4613" max="4613" width="13.109375" style="44" customWidth="1"/>
    <col min="4614" max="4614" width="11.88671875" style="44" customWidth="1"/>
    <col min="4615" max="4862" width="9.109375" style="44"/>
    <col min="4863" max="4863" width="6.6640625" style="44" customWidth="1"/>
    <col min="4864" max="4864" width="13.33203125" style="44" customWidth="1"/>
    <col min="4865" max="4865" width="98.33203125" style="44" customWidth="1"/>
    <col min="4866" max="4866" width="6.109375" style="44" customWidth="1"/>
    <col min="4867" max="4867" width="9.33203125" style="44" customWidth="1"/>
    <col min="4868" max="4868" width="15.44140625" style="44" customWidth="1"/>
    <col min="4869" max="4869" width="13.109375" style="44" customWidth="1"/>
    <col min="4870" max="4870" width="11.88671875" style="44" customWidth="1"/>
    <col min="4871" max="5118" width="9.109375" style="44"/>
    <col min="5119" max="5119" width="6.6640625" style="44" customWidth="1"/>
    <col min="5120" max="5120" width="13.33203125" style="44" customWidth="1"/>
    <col min="5121" max="5121" width="98.33203125" style="44" customWidth="1"/>
    <col min="5122" max="5122" width="6.109375" style="44" customWidth="1"/>
    <col min="5123" max="5123" width="9.33203125" style="44" customWidth="1"/>
    <col min="5124" max="5124" width="15.44140625" style="44" customWidth="1"/>
    <col min="5125" max="5125" width="13.109375" style="44" customWidth="1"/>
    <col min="5126" max="5126" width="11.88671875" style="44" customWidth="1"/>
    <col min="5127" max="5374" width="9.109375" style="44"/>
    <col min="5375" max="5375" width="6.6640625" style="44" customWidth="1"/>
    <col min="5376" max="5376" width="13.33203125" style="44" customWidth="1"/>
    <col min="5377" max="5377" width="98.33203125" style="44" customWidth="1"/>
    <col min="5378" max="5378" width="6.109375" style="44" customWidth="1"/>
    <col min="5379" max="5379" width="9.33203125" style="44" customWidth="1"/>
    <col min="5380" max="5380" width="15.44140625" style="44" customWidth="1"/>
    <col min="5381" max="5381" width="13.109375" style="44" customWidth="1"/>
    <col min="5382" max="5382" width="11.88671875" style="44" customWidth="1"/>
    <col min="5383" max="5630" width="9.109375" style="44"/>
    <col min="5631" max="5631" width="6.6640625" style="44" customWidth="1"/>
    <col min="5632" max="5632" width="13.33203125" style="44" customWidth="1"/>
    <col min="5633" max="5633" width="98.33203125" style="44" customWidth="1"/>
    <col min="5634" max="5634" width="6.109375" style="44" customWidth="1"/>
    <col min="5635" max="5635" width="9.33203125" style="44" customWidth="1"/>
    <col min="5636" max="5636" width="15.44140625" style="44" customWidth="1"/>
    <col min="5637" max="5637" width="13.109375" style="44" customWidth="1"/>
    <col min="5638" max="5638" width="11.88671875" style="44" customWidth="1"/>
    <col min="5639" max="5886" width="9.109375" style="44"/>
    <col min="5887" max="5887" width="6.6640625" style="44" customWidth="1"/>
    <col min="5888" max="5888" width="13.33203125" style="44" customWidth="1"/>
    <col min="5889" max="5889" width="98.33203125" style="44" customWidth="1"/>
    <col min="5890" max="5890" width="6.109375" style="44" customWidth="1"/>
    <col min="5891" max="5891" width="9.33203125" style="44" customWidth="1"/>
    <col min="5892" max="5892" width="15.44140625" style="44" customWidth="1"/>
    <col min="5893" max="5893" width="13.109375" style="44" customWidth="1"/>
    <col min="5894" max="5894" width="11.88671875" style="44" customWidth="1"/>
    <col min="5895" max="6142" width="9.109375" style="44"/>
    <col min="6143" max="6143" width="6.6640625" style="44" customWidth="1"/>
    <col min="6144" max="6144" width="13.33203125" style="44" customWidth="1"/>
    <col min="6145" max="6145" width="98.33203125" style="44" customWidth="1"/>
    <col min="6146" max="6146" width="6.109375" style="44" customWidth="1"/>
    <col min="6147" max="6147" width="9.33203125" style="44" customWidth="1"/>
    <col min="6148" max="6148" width="15.44140625" style="44" customWidth="1"/>
    <col min="6149" max="6149" width="13.109375" style="44" customWidth="1"/>
    <col min="6150" max="6150" width="11.88671875" style="44" customWidth="1"/>
    <col min="6151" max="6398" width="9.109375" style="44"/>
    <col min="6399" max="6399" width="6.6640625" style="44" customWidth="1"/>
    <col min="6400" max="6400" width="13.33203125" style="44" customWidth="1"/>
    <col min="6401" max="6401" width="98.33203125" style="44" customWidth="1"/>
    <col min="6402" max="6402" width="6.109375" style="44" customWidth="1"/>
    <col min="6403" max="6403" width="9.33203125" style="44" customWidth="1"/>
    <col min="6404" max="6404" width="15.44140625" style="44" customWidth="1"/>
    <col min="6405" max="6405" width="13.109375" style="44" customWidth="1"/>
    <col min="6406" max="6406" width="11.88671875" style="44" customWidth="1"/>
    <col min="6407" max="6654" width="9.109375" style="44"/>
    <col min="6655" max="6655" width="6.6640625" style="44" customWidth="1"/>
    <col min="6656" max="6656" width="13.33203125" style="44" customWidth="1"/>
    <col min="6657" max="6657" width="98.33203125" style="44" customWidth="1"/>
    <col min="6658" max="6658" width="6.109375" style="44" customWidth="1"/>
    <col min="6659" max="6659" width="9.33203125" style="44" customWidth="1"/>
    <col min="6660" max="6660" width="15.44140625" style="44" customWidth="1"/>
    <col min="6661" max="6661" width="13.109375" style="44" customWidth="1"/>
    <col min="6662" max="6662" width="11.88671875" style="44" customWidth="1"/>
    <col min="6663" max="6910" width="9.109375" style="44"/>
    <col min="6911" max="6911" width="6.6640625" style="44" customWidth="1"/>
    <col min="6912" max="6912" width="13.33203125" style="44" customWidth="1"/>
    <col min="6913" max="6913" width="98.33203125" style="44" customWidth="1"/>
    <col min="6914" max="6914" width="6.109375" style="44" customWidth="1"/>
    <col min="6915" max="6915" width="9.33203125" style="44" customWidth="1"/>
    <col min="6916" max="6916" width="15.44140625" style="44" customWidth="1"/>
    <col min="6917" max="6917" width="13.109375" style="44" customWidth="1"/>
    <col min="6918" max="6918" width="11.88671875" style="44" customWidth="1"/>
    <col min="6919" max="7166" width="9.109375" style="44"/>
    <col min="7167" max="7167" width="6.6640625" style="44" customWidth="1"/>
    <col min="7168" max="7168" width="13.33203125" style="44" customWidth="1"/>
    <col min="7169" max="7169" width="98.33203125" style="44" customWidth="1"/>
    <col min="7170" max="7170" width="6.109375" style="44" customWidth="1"/>
    <col min="7171" max="7171" width="9.33203125" style="44" customWidth="1"/>
    <col min="7172" max="7172" width="15.44140625" style="44" customWidth="1"/>
    <col min="7173" max="7173" width="13.109375" style="44" customWidth="1"/>
    <col min="7174" max="7174" width="11.88671875" style="44" customWidth="1"/>
    <col min="7175" max="7422" width="9.109375" style="44"/>
    <col min="7423" max="7423" width="6.6640625" style="44" customWidth="1"/>
    <col min="7424" max="7424" width="13.33203125" style="44" customWidth="1"/>
    <col min="7425" max="7425" width="98.33203125" style="44" customWidth="1"/>
    <col min="7426" max="7426" width="6.109375" style="44" customWidth="1"/>
    <col min="7427" max="7427" width="9.33203125" style="44" customWidth="1"/>
    <col min="7428" max="7428" width="15.44140625" style="44" customWidth="1"/>
    <col min="7429" max="7429" width="13.109375" style="44" customWidth="1"/>
    <col min="7430" max="7430" width="11.88671875" style="44" customWidth="1"/>
    <col min="7431" max="7678" width="9.109375" style="44"/>
    <col min="7679" max="7679" width="6.6640625" style="44" customWidth="1"/>
    <col min="7680" max="7680" width="13.33203125" style="44" customWidth="1"/>
    <col min="7681" max="7681" width="98.33203125" style="44" customWidth="1"/>
    <col min="7682" max="7682" width="6.109375" style="44" customWidth="1"/>
    <col min="7683" max="7683" width="9.33203125" style="44" customWidth="1"/>
    <col min="7684" max="7684" width="15.44140625" style="44" customWidth="1"/>
    <col min="7685" max="7685" width="13.109375" style="44" customWidth="1"/>
    <col min="7686" max="7686" width="11.88671875" style="44" customWidth="1"/>
    <col min="7687" max="7934" width="9.109375" style="44"/>
    <col min="7935" max="7935" width="6.6640625" style="44" customWidth="1"/>
    <col min="7936" max="7936" width="13.33203125" style="44" customWidth="1"/>
    <col min="7937" max="7937" width="98.33203125" style="44" customWidth="1"/>
    <col min="7938" max="7938" width="6.109375" style="44" customWidth="1"/>
    <col min="7939" max="7939" width="9.33203125" style="44" customWidth="1"/>
    <col min="7940" max="7940" width="15.44140625" style="44" customWidth="1"/>
    <col min="7941" max="7941" width="13.109375" style="44" customWidth="1"/>
    <col min="7942" max="7942" width="11.88671875" style="44" customWidth="1"/>
    <col min="7943" max="8190" width="9.109375" style="44"/>
    <col min="8191" max="8191" width="6.6640625" style="44" customWidth="1"/>
    <col min="8192" max="8192" width="13.33203125" style="44" customWidth="1"/>
    <col min="8193" max="8193" width="98.33203125" style="44" customWidth="1"/>
    <col min="8194" max="8194" width="6.109375" style="44" customWidth="1"/>
    <col min="8195" max="8195" width="9.33203125" style="44" customWidth="1"/>
    <col min="8196" max="8196" width="15.44140625" style="44" customWidth="1"/>
    <col min="8197" max="8197" width="13.109375" style="44" customWidth="1"/>
    <col min="8198" max="8198" width="11.88671875" style="44" customWidth="1"/>
    <col min="8199" max="8446" width="9.109375" style="44"/>
    <col min="8447" max="8447" width="6.6640625" style="44" customWidth="1"/>
    <col min="8448" max="8448" width="13.33203125" style="44" customWidth="1"/>
    <col min="8449" max="8449" width="98.33203125" style="44" customWidth="1"/>
    <col min="8450" max="8450" width="6.109375" style="44" customWidth="1"/>
    <col min="8451" max="8451" width="9.33203125" style="44" customWidth="1"/>
    <col min="8452" max="8452" width="15.44140625" style="44" customWidth="1"/>
    <col min="8453" max="8453" width="13.109375" style="44" customWidth="1"/>
    <col min="8454" max="8454" width="11.88671875" style="44" customWidth="1"/>
    <col min="8455" max="8702" width="9.109375" style="44"/>
    <col min="8703" max="8703" width="6.6640625" style="44" customWidth="1"/>
    <col min="8704" max="8704" width="13.33203125" style="44" customWidth="1"/>
    <col min="8705" max="8705" width="98.33203125" style="44" customWidth="1"/>
    <col min="8706" max="8706" width="6.109375" style="44" customWidth="1"/>
    <col min="8707" max="8707" width="9.33203125" style="44" customWidth="1"/>
    <col min="8708" max="8708" width="15.44140625" style="44" customWidth="1"/>
    <col min="8709" max="8709" width="13.109375" style="44" customWidth="1"/>
    <col min="8710" max="8710" width="11.88671875" style="44" customWidth="1"/>
    <col min="8711" max="8958" width="9.109375" style="44"/>
    <col min="8959" max="8959" width="6.6640625" style="44" customWidth="1"/>
    <col min="8960" max="8960" width="13.33203125" style="44" customWidth="1"/>
    <col min="8961" max="8961" width="98.33203125" style="44" customWidth="1"/>
    <col min="8962" max="8962" width="6.109375" style="44" customWidth="1"/>
    <col min="8963" max="8963" width="9.33203125" style="44" customWidth="1"/>
    <col min="8964" max="8964" width="15.44140625" style="44" customWidth="1"/>
    <col min="8965" max="8965" width="13.109375" style="44" customWidth="1"/>
    <col min="8966" max="8966" width="11.88671875" style="44" customWidth="1"/>
    <col min="8967" max="9214" width="9.109375" style="44"/>
    <col min="9215" max="9215" width="6.6640625" style="44" customWidth="1"/>
    <col min="9216" max="9216" width="13.33203125" style="44" customWidth="1"/>
    <col min="9217" max="9217" width="98.33203125" style="44" customWidth="1"/>
    <col min="9218" max="9218" width="6.109375" style="44" customWidth="1"/>
    <col min="9219" max="9219" width="9.33203125" style="44" customWidth="1"/>
    <col min="9220" max="9220" width="15.44140625" style="44" customWidth="1"/>
    <col min="9221" max="9221" width="13.109375" style="44" customWidth="1"/>
    <col min="9222" max="9222" width="11.88671875" style="44" customWidth="1"/>
    <col min="9223" max="9470" width="9.109375" style="44"/>
    <col min="9471" max="9471" width="6.6640625" style="44" customWidth="1"/>
    <col min="9472" max="9472" width="13.33203125" style="44" customWidth="1"/>
    <col min="9473" max="9473" width="98.33203125" style="44" customWidth="1"/>
    <col min="9474" max="9474" width="6.109375" style="44" customWidth="1"/>
    <col min="9475" max="9475" width="9.33203125" style="44" customWidth="1"/>
    <col min="9476" max="9476" width="15.44140625" style="44" customWidth="1"/>
    <col min="9477" max="9477" width="13.109375" style="44" customWidth="1"/>
    <col min="9478" max="9478" width="11.88671875" style="44" customWidth="1"/>
    <col min="9479" max="9726" width="9.109375" style="44"/>
    <col min="9727" max="9727" width="6.6640625" style="44" customWidth="1"/>
    <col min="9728" max="9728" width="13.33203125" style="44" customWidth="1"/>
    <col min="9729" max="9729" width="98.33203125" style="44" customWidth="1"/>
    <col min="9730" max="9730" width="6.109375" style="44" customWidth="1"/>
    <col min="9731" max="9731" width="9.33203125" style="44" customWidth="1"/>
    <col min="9732" max="9732" width="15.44140625" style="44" customWidth="1"/>
    <col min="9733" max="9733" width="13.109375" style="44" customWidth="1"/>
    <col min="9734" max="9734" width="11.88671875" style="44" customWidth="1"/>
    <col min="9735" max="9982" width="9.109375" style="44"/>
    <col min="9983" max="9983" width="6.6640625" style="44" customWidth="1"/>
    <col min="9984" max="9984" width="13.33203125" style="44" customWidth="1"/>
    <col min="9985" max="9985" width="98.33203125" style="44" customWidth="1"/>
    <col min="9986" max="9986" width="6.109375" style="44" customWidth="1"/>
    <col min="9987" max="9987" width="9.33203125" style="44" customWidth="1"/>
    <col min="9988" max="9988" width="15.44140625" style="44" customWidth="1"/>
    <col min="9989" max="9989" width="13.109375" style="44" customWidth="1"/>
    <col min="9990" max="9990" width="11.88671875" style="44" customWidth="1"/>
    <col min="9991" max="10238" width="9.109375" style="44"/>
    <col min="10239" max="10239" width="6.6640625" style="44" customWidth="1"/>
    <col min="10240" max="10240" width="13.33203125" style="44" customWidth="1"/>
    <col min="10241" max="10241" width="98.33203125" style="44" customWidth="1"/>
    <col min="10242" max="10242" width="6.109375" style="44" customWidth="1"/>
    <col min="10243" max="10243" width="9.33203125" style="44" customWidth="1"/>
    <col min="10244" max="10244" width="15.44140625" style="44" customWidth="1"/>
    <col min="10245" max="10245" width="13.109375" style="44" customWidth="1"/>
    <col min="10246" max="10246" width="11.88671875" style="44" customWidth="1"/>
    <col min="10247" max="10494" width="9.109375" style="44"/>
    <col min="10495" max="10495" width="6.6640625" style="44" customWidth="1"/>
    <col min="10496" max="10496" width="13.33203125" style="44" customWidth="1"/>
    <col min="10497" max="10497" width="98.33203125" style="44" customWidth="1"/>
    <col min="10498" max="10498" width="6.109375" style="44" customWidth="1"/>
    <col min="10499" max="10499" width="9.33203125" style="44" customWidth="1"/>
    <col min="10500" max="10500" width="15.44140625" style="44" customWidth="1"/>
    <col min="10501" max="10501" width="13.109375" style="44" customWidth="1"/>
    <col min="10502" max="10502" width="11.88671875" style="44" customWidth="1"/>
    <col min="10503" max="10750" width="9.109375" style="44"/>
    <col min="10751" max="10751" width="6.6640625" style="44" customWidth="1"/>
    <col min="10752" max="10752" width="13.33203125" style="44" customWidth="1"/>
    <col min="10753" max="10753" width="98.33203125" style="44" customWidth="1"/>
    <col min="10754" max="10754" width="6.109375" style="44" customWidth="1"/>
    <col min="10755" max="10755" width="9.33203125" style="44" customWidth="1"/>
    <col min="10756" max="10756" width="15.44140625" style="44" customWidth="1"/>
    <col min="10757" max="10757" width="13.109375" style="44" customWidth="1"/>
    <col min="10758" max="10758" width="11.88671875" style="44" customWidth="1"/>
    <col min="10759" max="11006" width="9.109375" style="44"/>
    <col min="11007" max="11007" width="6.6640625" style="44" customWidth="1"/>
    <col min="11008" max="11008" width="13.33203125" style="44" customWidth="1"/>
    <col min="11009" max="11009" width="98.33203125" style="44" customWidth="1"/>
    <col min="11010" max="11010" width="6.109375" style="44" customWidth="1"/>
    <col min="11011" max="11011" width="9.33203125" style="44" customWidth="1"/>
    <col min="11012" max="11012" width="15.44140625" style="44" customWidth="1"/>
    <col min="11013" max="11013" width="13.109375" style="44" customWidth="1"/>
    <col min="11014" max="11014" width="11.88671875" style="44" customWidth="1"/>
    <col min="11015" max="11262" width="9.109375" style="44"/>
    <col min="11263" max="11263" width="6.6640625" style="44" customWidth="1"/>
    <col min="11264" max="11264" width="13.33203125" style="44" customWidth="1"/>
    <col min="11265" max="11265" width="98.33203125" style="44" customWidth="1"/>
    <col min="11266" max="11266" width="6.109375" style="44" customWidth="1"/>
    <col min="11267" max="11267" width="9.33203125" style="44" customWidth="1"/>
    <col min="11268" max="11268" width="15.44140625" style="44" customWidth="1"/>
    <col min="11269" max="11269" width="13.109375" style="44" customWidth="1"/>
    <col min="11270" max="11270" width="11.88671875" style="44" customWidth="1"/>
    <col min="11271" max="11518" width="9.109375" style="44"/>
    <col min="11519" max="11519" width="6.6640625" style="44" customWidth="1"/>
    <col min="11520" max="11520" width="13.33203125" style="44" customWidth="1"/>
    <col min="11521" max="11521" width="98.33203125" style="44" customWidth="1"/>
    <col min="11522" max="11522" width="6.109375" style="44" customWidth="1"/>
    <col min="11523" max="11523" width="9.33203125" style="44" customWidth="1"/>
    <col min="11524" max="11524" width="15.44140625" style="44" customWidth="1"/>
    <col min="11525" max="11525" width="13.109375" style="44" customWidth="1"/>
    <col min="11526" max="11526" width="11.88671875" style="44" customWidth="1"/>
    <col min="11527" max="11774" width="9.109375" style="44"/>
    <col min="11775" max="11775" width="6.6640625" style="44" customWidth="1"/>
    <col min="11776" max="11776" width="13.33203125" style="44" customWidth="1"/>
    <col min="11777" max="11777" width="98.33203125" style="44" customWidth="1"/>
    <col min="11778" max="11778" width="6.109375" style="44" customWidth="1"/>
    <col min="11779" max="11779" width="9.33203125" style="44" customWidth="1"/>
    <col min="11780" max="11780" width="15.44140625" style="44" customWidth="1"/>
    <col min="11781" max="11781" width="13.109375" style="44" customWidth="1"/>
    <col min="11782" max="11782" width="11.88671875" style="44" customWidth="1"/>
    <col min="11783" max="12030" width="9.109375" style="44"/>
    <col min="12031" max="12031" width="6.6640625" style="44" customWidth="1"/>
    <col min="12032" max="12032" width="13.33203125" style="44" customWidth="1"/>
    <col min="12033" max="12033" width="98.33203125" style="44" customWidth="1"/>
    <col min="12034" max="12034" width="6.109375" style="44" customWidth="1"/>
    <col min="12035" max="12035" width="9.33203125" style="44" customWidth="1"/>
    <col min="12036" max="12036" width="15.44140625" style="44" customWidth="1"/>
    <col min="12037" max="12037" width="13.109375" style="44" customWidth="1"/>
    <col min="12038" max="12038" width="11.88671875" style="44" customWidth="1"/>
    <col min="12039" max="12286" width="9.109375" style="44"/>
    <col min="12287" max="12287" width="6.6640625" style="44" customWidth="1"/>
    <col min="12288" max="12288" width="13.33203125" style="44" customWidth="1"/>
    <col min="12289" max="12289" width="98.33203125" style="44" customWidth="1"/>
    <col min="12290" max="12290" width="6.109375" style="44" customWidth="1"/>
    <col min="12291" max="12291" width="9.33203125" style="44" customWidth="1"/>
    <col min="12292" max="12292" width="15.44140625" style="44" customWidth="1"/>
    <col min="12293" max="12293" width="13.109375" style="44" customWidth="1"/>
    <col min="12294" max="12294" width="11.88671875" style="44" customWidth="1"/>
    <col min="12295" max="12542" width="9.109375" style="44"/>
    <col min="12543" max="12543" width="6.6640625" style="44" customWidth="1"/>
    <col min="12544" max="12544" width="13.33203125" style="44" customWidth="1"/>
    <col min="12545" max="12545" width="98.33203125" style="44" customWidth="1"/>
    <col min="12546" max="12546" width="6.109375" style="44" customWidth="1"/>
    <col min="12547" max="12547" width="9.33203125" style="44" customWidth="1"/>
    <col min="12548" max="12548" width="15.44140625" style="44" customWidth="1"/>
    <col min="12549" max="12549" width="13.109375" style="44" customWidth="1"/>
    <col min="12550" max="12550" width="11.88671875" style="44" customWidth="1"/>
    <col min="12551" max="12798" width="9.109375" style="44"/>
    <col min="12799" max="12799" width="6.6640625" style="44" customWidth="1"/>
    <col min="12800" max="12800" width="13.33203125" style="44" customWidth="1"/>
    <col min="12801" max="12801" width="98.33203125" style="44" customWidth="1"/>
    <col min="12802" max="12802" width="6.109375" style="44" customWidth="1"/>
    <col min="12803" max="12803" width="9.33203125" style="44" customWidth="1"/>
    <col min="12804" max="12804" width="15.44140625" style="44" customWidth="1"/>
    <col min="12805" max="12805" width="13.109375" style="44" customWidth="1"/>
    <col min="12806" max="12806" width="11.88671875" style="44" customWidth="1"/>
    <col min="12807" max="13054" width="9.109375" style="44"/>
    <col min="13055" max="13055" width="6.6640625" style="44" customWidth="1"/>
    <col min="13056" max="13056" width="13.33203125" style="44" customWidth="1"/>
    <col min="13057" max="13057" width="98.33203125" style="44" customWidth="1"/>
    <col min="13058" max="13058" width="6.109375" style="44" customWidth="1"/>
    <col min="13059" max="13059" width="9.33203125" style="44" customWidth="1"/>
    <col min="13060" max="13060" width="15.44140625" style="44" customWidth="1"/>
    <col min="13061" max="13061" width="13.109375" style="44" customWidth="1"/>
    <col min="13062" max="13062" width="11.88671875" style="44" customWidth="1"/>
    <col min="13063" max="13310" width="9.109375" style="44"/>
    <col min="13311" max="13311" width="6.6640625" style="44" customWidth="1"/>
    <col min="13312" max="13312" width="13.33203125" style="44" customWidth="1"/>
    <col min="13313" max="13313" width="98.33203125" style="44" customWidth="1"/>
    <col min="13314" max="13314" width="6.109375" style="44" customWidth="1"/>
    <col min="13315" max="13315" width="9.33203125" style="44" customWidth="1"/>
    <col min="13316" max="13316" width="15.44140625" style="44" customWidth="1"/>
    <col min="13317" max="13317" width="13.109375" style="44" customWidth="1"/>
    <col min="13318" max="13318" width="11.88671875" style="44" customWidth="1"/>
    <col min="13319" max="13566" width="9.109375" style="44"/>
    <col min="13567" max="13567" width="6.6640625" style="44" customWidth="1"/>
    <col min="13568" max="13568" width="13.33203125" style="44" customWidth="1"/>
    <col min="13569" max="13569" width="98.33203125" style="44" customWidth="1"/>
    <col min="13570" max="13570" width="6.109375" style="44" customWidth="1"/>
    <col min="13571" max="13571" width="9.33203125" style="44" customWidth="1"/>
    <col min="13572" max="13572" width="15.44140625" style="44" customWidth="1"/>
    <col min="13573" max="13573" width="13.109375" style="44" customWidth="1"/>
    <col min="13574" max="13574" width="11.88671875" style="44" customWidth="1"/>
    <col min="13575" max="13822" width="9.109375" style="44"/>
    <col min="13823" max="13823" width="6.6640625" style="44" customWidth="1"/>
    <col min="13824" max="13824" width="13.33203125" style="44" customWidth="1"/>
    <col min="13825" max="13825" width="98.33203125" style="44" customWidth="1"/>
    <col min="13826" max="13826" width="6.109375" style="44" customWidth="1"/>
    <col min="13827" max="13827" width="9.33203125" style="44" customWidth="1"/>
    <col min="13828" max="13828" width="15.44140625" style="44" customWidth="1"/>
    <col min="13829" max="13829" width="13.109375" style="44" customWidth="1"/>
    <col min="13830" max="13830" width="11.88671875" style="44" customWidth="1"/>
    <col min="13831" max="14078" width="9.109375" style="44"/>
    <col min="14079" max="14079" width="6.6640625" style="44" customWidth="1"/>
    <col min="14080" max="14080" width="13.33203125" style="44" customWidth="1"/>
    <col min="14081" max="14081" width="98.33203125" style="44" customWidth="1"/>
    <col min="14082" max="14082" width="6.109375" style="44" customWidth="1"/>
    <col min="14083" max="14083" width="9.33203125" style="44" customWidth="1"/>
    <col min="14084" max="14084" width="15.44140625" style="44" customWidth="1"/>
    <col min="14085" max="14085" width="13.109375" style="44" customWidth="1"/>
    <col min="14086" max="14086" width="11.88671875" style="44" customWidth="1"/>
    <col min="14087" max="14334" width="9.109375" style="44"/>
    <col min="14335" max="14335" width="6.6640625" style="44" customWidth="1"/>
    <col min="14336" max="14336" width="13.33203125" style="44" customWidth="1"/>
    <col min="14337" max="14337" width="98.33203125" style="44" customWidth="1"/>
    <col min="14338" max="14338" width="6.109375" style="44" customWidth="1"/>
    <col min="14339" max="14339" width="9.33203125" style="44" customWidth="1"/>
    <col min="14340" max="14340" width="15.44140625" style="44" customWidth="1"/>
    <col min="14341" max="14341" width="13.109375" style="44" customWidth="1"/>
    <col min="14342" max="14342" width="11.88671875" style="44" customWidth="1"/>
    <col min="14343" max="14590" width="9.109375" style="44"/>
    <col min="14591" max="14591" width="6.6640625" style="44" customWidth="1"/>
    <col min="14592" max="14592" width="13.33203125" style="44" customWidth="1"/>
    <col min="14593" max="14593" width="98.33203125" style="44" customWidth="1"/>
    <col min="14594" max="14594" width="6.109375" style="44" customWidth="1"/>
    <col min="14595" max="14595" width="9.33203125" style="44" customWidth="1"/>
    <col min="14596" max="14596" width="15.44140625" style="44" customWidth="1"/>
    <col min="14597" max="14597" width="13.109375" style="44" customWidth="1"/>
    <col min="14598" max="14598" width="11.88671875" style="44" customWidth="1"/>
    <col min="14599" max="14846" width="9.109375" style="44"/>
    <col min="14847" max="14847" width="6.6640625" style="44" customWidth="1"/>
    <col min="14848" max="14848" width="13.33203125" style="44" customWidth="1"/>
    <col min="14849" max="14849" width="98.33203125" style="44" customWidth="1"/>
    <col min="14850" max="14850" width="6.109375" style="44" customWidth="1"/>
    <col min="14851" max="14851" width="9.33203125" style="44" customWidth="1"/>
    <col min="14852" max="14852" width="15.44140625" style="44" customWidth="1"/>
    <col min="14853" max="14853" width="13.109375" style="44" customWidth="1"/>
    <col min="14854" max="14854" width="11.88671875" style="44" customWidth="1"/>
    <col min="14855" max="15102" width="9.109375" style="44"/>
    <col min="15103" max="15103" width="6.6640625" style="44" customWidth="1"/>
    <col min="15104" max="15104" width="13.33203125" style="44" customWidth="1"/>
    <col min="15105" max="15105" width="98.33203125" style="44" customWidth="1"/>
    <col min="15106" max="15106" width="6.109375" style="44" customWidth="1"/>
    <col min="15107" max="15107" width="9.33203125" style="44" customWidth="1"/>
    <col min="15108" max="15108" width="15.44140625" style="44" customWidth="1"/>
    <col min="15109" max="15109" width="13.109375" style="44" customWidth="1"/>
    <col min="15110" max="15110" width="11.88671875" style="44" customWidth="1"/>
    <col min="15111" max="15358" width="9.109375" style="44"/>
    <col min="15359" max="15359" width="6.6640625" style="44" customWidth="1"/>
    <col min="15360" max="15360" width="13.33203125" style="44" customWidth="1"/>
    <col min="15361" max="15361" width="98.33203125" style="44" customWidth="1"/>
    <col min="15362" max="15362" width="6.109375" style="44" customWidth="1"/>
    <col min="15363" max="15363" width="9.33203125" style="44" customWidth="1"/>
    <col min="15364" max="15364" width="15.44140625" style="44" customWidth="1"/>
    <col min="15365" max="15365" width="13.109375" style="44" customWidth="1"/>
    <col min="15366" max="15366" width="11.88671875" style="44" customWidth="1"/>
    <col min="15367" max="15614" width="9.109375" style="44"/>
    <col min="15615" max="15615" width="6.6640625" style="44" customWidth="1"/>
    <col min="15616" max="15616" width="13.33203125" style="44" customWidth="1"/>
    <col min="15617" max="15617" width="98.33203125" style="44" customWidth="1"/>
    <col min="15618" max="15618" width="6.109375" style="44" customWidth="1"/>
    <col min="15619" max="15619" width="9.33203125" style="44" customWidth="1"/>
    <col min="15620" max="15620" width="15.44140625" style="44" customWidth="1"/>
    <col min="15621" max="15621" width="13.109375" style="44" customWidth="1"/>
    <col min="15622" max="15622" width="11.88671875" style="44" customWidth="1"/>
    <col min="15623" max="15870" width="9.109375" style="44"/>
    <col min="15871" max="15871" width="6.6640625" style="44" customWidth="1"/>
    <col min="15872" max="15872" width="13.33203125" style="44" customWidth="1"/>
    <col min="15873" max="15873" width="98.33203125" style="44" customWidth="1"/>
    <col min="15874" max="15874" width="6.109375" style="44" customWidth="1"/>
    <col min="15875" max="15875" width="9.33203125" style="44" customWidth="1"/>
    <col min="15876" max="15876" width="15.44140625" style="44" customWidth="1"/>
    <col min="15877" max="15877" width="13.109375" style="44" customWidth="1"/>
    <col min="15878" max="15878" width="11.88671875" style="44" customWidth="1"/>
    <col min="15879" max="16126" width="9.109375" style="44"/>
    <col min="16127" max="16127" width="6.6640625" style="44" customWidth="1"/>
    <col min="16128" max="16128" width="13.33203125" style="44" customWidth="1"/>
    <col min="16129" max="16129" width="98.33203125" style="44" customWidth="1"/>
    <col min="16130" max="16130" width="6.109375" style="44" customWidth="1"/>
    <col min="16131" max="16131" width="9.33203125" style="44" customWidth="1"/>
    <col min="16132" max="16132" width="15.44140625" style="44" customWidth="1"/>
    <col min="16133" max="16133" width="13.109375" style="44" customWidth="1"/>
    <col min="16134" max="16134" width="11.88671875" style="44" customWidth="1"/>
    <col min="16135" max="16383" width="9.109375" style="44"/>
    <col min="16384" max="16384" width="9.109375" style="44" customWidth="1"/>
  </cols>
  <sheetData>
    <row r="1" spans="1:7" ht="80.25" customHeight="1">
      <c r="A1" s="103" t="s">
        <v>10</v>
      </c>
      <c r="B1" s="325" t="s">
        <v>573</v>
      </c>
      <c r="C1" s="326"/>
      <c r="D1" s="326"/>
      <c r="E1" s="326"/>
      <c r="F1" s="326"/>
      <c r="G1" s="327"/>
    </row>
    <row r="2" spans="1:7" s="17" customFormat="1" ht="40.5" customHeight="1">
      <c r="A2" s="316" t="s">
        <v>592</v>
      </c>
      <c r="B2" s="316"/>
      <c r="C2" s="316"/>
      <c r="D2" s="316"/>
      <c r="E2" s="316"/>
      <c r="F2" s="316"/>
      <c r="G2" s="316"/>
    </row>
    <row r="3" spans="1:7" s="18" customFormat="1" ht="18" customHeight="1">
      <c r="A3" s="328" t="s">
        <v>527</v>
      </c>
      <c r="B3" s="328"/>
      <c r="C3" s="328"/>
      <c r="D3" s="328"/>
      <c r="E3" s="328"/>
      <c r="F3" s="328"/>
      <c r="G3" s="328"/>
    </row>
    <row r="4" spans="1:7" s="29" customFormat="1" ht="18" customHeight="1">
      <c r="A4" s="328" t="s">
        <v>0</v>
      </c>
      <c r="B4" s="328"/>
      <c r="C4" s="328"/>
      <c r="D4" s="328"/>
      <c r="E4" s="328"/>
      <c r="F4" s="328"/>
      <c r="G4" s="328"/>
    </row>
    <row r="5" spans="1:7" s="45" customFormat="1" ht="136.5" customHeight="1">
      <c r="A5" s="124" t="s">
        <v>342</v>
      </c>
      <c r="B5" s="124" t="s">
        <v>2</v>
      </c>
      <c r="C5" s="124" t="s">
        <v>3</v>
      </c>
      <c r="D5" s="124" t="s">
        <v>14</v>
      </c>
      <c r="E5" s="237" t="s">
        <v>478</v>
      </c>
      <c r="F5" s="237" t="s">
        <v>478</v>
      </c>
      <c r="G5" s="95" t="s">
        <v>479</v>
      </c>
    </row>
    <row r="6" spans="1:7" s="46" customFormat="1" ht="20.25" customHeight="1">
      <c r="A6" s="156"/>
      <c r="B6" s="124"/>
      <c r="C6" s="113" t="s">
        <v>4</v>
      </c>
      <c r="D6" s="114" t="s">
        <v>5</v>
      </c>
      <c r="E6" s="98" t="s">
        <v>6</v>
      </c>
      <c r="F6" s="98" t="s">
        <v>6</v>
      </c>
      <c r="G6" s="92" t="s">
        <v>7</v>
      </c>
    </row>
    <row r="7" spans="1:7" ht="15.75" customHeight="1">
      <c r="A7" s="238" t="s">
        <v>343</v>
      </c>
      <c r="B7" s="239" t="s">
        <v>344</v>
      </c>
      <c r="C7" s="329"/>
      <c r="D7" s="329"/>
      <c r="E7" s="329"/>
      <c r="F7" s="329"/>
      <c r="G7" s="329"/>
    </row>
    <row r="8" spans="1:7" s="46" customFormat="1" ht="180.75" customHeight="1">
      <c r="A8" s="238" t="s">
        <v>345</v>
      </c>
      <c r="B8" s="240" t="s">
        <v>468</v>
      </c>
      <c r="C8" s="241" t="s">
        <v>587</v>
      </c>
      <c r="D8" s="242">
        <v>1800</v>
      </c>
      <c r="E8" s="226">
        <v>112.27</v>
      </c>
      <c r="F8" s="226">
        <f>E8*1.1</f>
        <v>123.497</v>
      </c>
      <c r="G8" s="227">
        <f>F8*D8</f>
        <v>222294.6</v>
      </c>
    </row>
    <row r="9" spans="1:7" s="46" customFormat="1" ht="12.75" customHeight="1">
      <c r="A9" s="238" t="s">
        <v>346</v>
      </c>
      <c r="B9" s="243" t="s">
        <v>347</v>
      </c>
      <c r="C9" s="241"/>
      <c r="D9" s="242"/>
      <c r="E9" s="158"/>
      <c r="F9" s="158"/>
      <c r="G9" s="227" t="s">
        <v>511</v>
      </c>
    </row>
    <row r="10" spans="1:7" s="46" customFormat="1" ht="89.25" customHeight="1">
      <c r="A10" s="238" t="s">
        <v>348</v>
      </c>
      <c r="B10" s="244" t="s">
        <v>349</v>
      </c>
      <c r="C10" s="241" t="s">
        <v>350</v>
      </c>
      <c r="D10" s="242">
        <v>1</v>
      </c>
      <c r="E10" s="226">
        <f>66000*1.09</f>
        <v>71940</v>
      </c>
      <c r="F10" s="226">
        <f>E10*1.1</f>
        <v>79134</v>
      </c>
      <c r="G10" s="227">
        <f>F10*D10</f>
        <v>79134</v>
      </c>
    </row>
    <row r="11" spans="1:7" s="46" customFormat="1" ht="13.5" customHeight="1">
      <c r="A11" s="238" t="s">
        <v>351</v>
      </c>
      <c r="B11" s="243" t="s">
        <v>352</v>
      </c>
      <c r="C11" s="241"/>
      <c r="D11" s="242"/>
      <c r="E11" s="158"/>
      <c r="F11" s="158"/>
      <c r="G11" s="227" t="s">
        <v>511</v>
      </c>
    </row>
    <row r="12" spans="1:7" s="46" customFormat="1" ht="63" customHeight="1">
      <c r="A12" s="238" t="s">
        <v>353</v>
      </c>
      <c r="B12" s="244" t="s">
        <v>354</v>
      </c>
      <c r="C12" s="241" t="s">
        <v>355</v>
      </c>
      <c r="D12" s="242">
        <v>250</v>
      </c>
      <c r="E12" s="226">
        <f>250-(250*0.55/100)</f>
        <v>248.625</v>
      </c>
      <c r="F12" s="226">
        <f t="shared" ref="F12:F15" si="0">E12*1.1</f>
        <v>273.48750000000001</v>
      </c>
      <c r="G12" s="227">
        <f t="shared" ref="G12:G15" si="1">F12*D12</f>
        <v>68371.875</v>
      </c>
    </row>
    <row r="13" spans="1:7" ht="102" customHeight="1">
      <c r="A13" s="238" t="s">
        <v>356</v>
      </c>
      <c r="B13" s="244" t="s">
        <v>357</v>
      </c>
      <c r="C13" s="241" t="s">
        <v>358</v>
      </c>
      <c r="D13" s="242">
        <v>300</v>
      </c>
      <c r="E13" s="226">
        <f>221-(221*0.55/100)</f>
        <v>219.78450000000001</v>
      </c>
      <c r="F13" s="226">
        <f t="shared" si="0"/>
        <v>241.76295000000002</v>
      </c>
      <c r="G13" s="227">
        <f t="shared" si="1"/>
        <v>72528.885000000009</v>
      </c>
    </row>
    <row r="14" spans="1:7" ht="79.2">
      <c r="A14" s="238" t="s">
        <v>359</v>
      </c>
      <c r="B14" s="244" t="s">
        <v>451</v>
      </c>
      <c r="C14" s="241" t="s">
        <v>360</v>
      </c>
      <c r="D14" s="242">
        <v>150</v>
      </c>
      <c r="E14" s="226">
        <f>1912-(1912*0.55/100)</f>
        <v>1901.4839999999999</v>
      </c>
      <c r="F14" s="226">
        <f t="shared" si="0"/>
        <v>2091.6324</v>
      </c>
      <c r="G14" s="227">
        <f t="shared" si="1"/>
        <v>313744.86</v>
      </c>
    </row>
    <row r="15" spans="1:7" ht="114.75" customHeight="1">
      <c r="A15" s="238" t="s">
        <v>361</v>
      </c>
      <c r="B15" s="160" t="s">
        <v>466</v>
      </c>
      <c r="C15" s="241" t="s">
        <v>362</v>
      </c>
      <c r="D15" s="242">
        <v>700</v>
      </c>
      <c r="E15" s="226">
        <f>215-(215*0.55/100)</f>
        <v>213.8175</v>
      </c>
      <c r="F15" s="226">
        <f t="shared" si="0"/>
        <v>235.19925000000001</v>
      </c>
      <c r="G15" s="227">
        <f t="shared" si="1"/>
        <v>164639.47500000001</v>
      </c>
    </row>
    <row r="16" spans="1:7" ht="13.5" hidden="1" customHeight="1">
      <c r="A16" s="238" t="s">
        <v>363</v>
      </c>
      <c r="B16" s="243" t="s">
        <v>364</v>
      </c>
      <c r="C16" s="241"/>
      <c r="D16" s="242">
        <v>0</v>
      </c>
      <c r="E16" s="161"/>
      <c r="F16" s="161"/>
      <c r="G16" s="227">
        <f t="shared" ref="G9:G60" si="2">E16*D16</f>
        <v>0</v>
      </c>
    </row>
    <row r="17" spans="1:7" ht="179.25" hidden="1" customHeight="1">
      <c r="A17" s="238" t="s">
        <v>365</v>
      </c>
      <c r="B17" s="244" t="s">
        <v>366</v>
      </c>
      <c r="C17" s="241" t="s">
        <v>588</v>
      </c>
      <c r="D17" s="242">
        <v>0</v>
      </c>
      <c r="E17" s="226">
        <v>453</v>
      </c>
      <c r="F17" s="226">
        <f>E17*1.1</f>
        <v>498.30000000000007</v>
      </c>
      <c r="G17" s="227">
        <f>F17*D17</f>
        <v>0</v>
      </c>
    </row>
    <row r="18" spans="1:7" ht="15" customHeight="1">
      <c r="A18" s="238" t="s">
        <v>367</v>
      </c>
      <c r="B18" s="245" t="s">
        <v>368</v>
      </c>
      <c r="C18" s="228"/>
      <c r="D18" s="229"/>
      <c r="E18" s="161"/>
      <c r="F18" s="161"/>
      <c r="G18" s="227" t="s">
        <v>511</v>
      </c>
    </row>
    <row r="19" spans="1:7" ht="115.5" customHeight="1">
      <c r="A19" s="238" t="s">
        <v>369</v>
      </c>
      <c r="B19" s="246" t="s">
        <v>370</v>
      </c>
      <c r="C19" s="241" t="s">
        <v>587</v>
      </c>
      <c r="D19" s="242">
        <v>10</v>
      </c>
      <c r="E19" s="226">
        <v>2874.49</v>
      </c>
      <c r="F19" s="226">
        <f>E19*1.1</f>
        <v>3161.9389999999999</v>
      </c>
      <c r="G19" s="227">
        <f>F19*D19</f>
        <v>31619.39</v>
      </c>
    </row>
    <row r="20" spans="1:7" ht="14.25" hidden="1" customHeight="1">
      <c r="A20" s="238" t="s">
        <v>371</v>
      </c>
      <c r="B20" s="247" t="s">
        <v>372</v>
      </c>
      <c r="C20" s="228"/>
      <c r="D20" s="229">
        <v>0</v>
      </c>
      <c r="E20" s="161"/>
      <c r="F20" s="161"/>
      <c r="G20" s="227">
        <f t="shared" si="2"/>
        <v>0</v>
      </c>
    </row>
    <row r="21" spans="1:7" s="46" customFormat="1" ht="39" hidden="1" customHeight="1">
      <c r="A21" s="238" t="s">
        <v>373</v>
      </c>
      <c r="B21" s="248" t="s">
        <v>374</v>
      </c>
      <c r="C21" s="241" t="s">
        <v>375</v>
      </c>
      <c r="D21" s="242">
        <v>0</v>
      </c>
      <c r="E21" s="226">
        <v>4796</v>
      </c>
      <c r="F21" s="226">
        <f t="shared" ref="F21:F22" si="3">E21*1.1</f>
        <v>5275.6</v>
      </c>
      <c r="G21" s="227">
        <f t="shared" ref="G21:G22" si="4">F21*D21</f>
        <v>0</v>
      </c>
    </row>
    <row r="22" spans="1:7" s="46" customFormat="1" ht="39" hidden="1" customHeight="1">
      <c r="A22" s="238" t="s">
        <v>376</v>
      </c>
      <c r="B22" s="248" t="s">
        <v>377</v>
      </c>
      <c r="C22" s="241" t="s">
        <v>375</v>
      </c>
      <c r="D22" s="242">
        <v>0</v>
      </c>
      <c r="E22" s="226">
        <v>8500</v>
      </c>
      <c r="F22" s="226">
        <f t="shared" si="3"/>
        <v>9350</v>
      </c>
      <c r="G22" s="227">
        <f t="shared" si="4"/>
        <v>0</v>
      </c>
    </row>
    <row r="23" spans="1:7" ht="13.5" hidden="1" customHeight="1">
      <c r="A23" s="238" t="s">
        <v>378</v>
      </c>
      <c r="B23" s="245" t="s">
        <v>379</v>
      </c>
      <c r="C23" s="235"/>
      <c r="D23" s="229">
        <v>0</v>
      </c>
      <c r="E23" s="161"/>
      <c r="F23" s="161"/>
      <c r="G23" s="227">
        <f t="shared" si="2"/>
        <v>0</v>
      </c>
    </row>
    <row r="24" spans="1:7" s="46" customFormat="1" ht="142.19999999999999" hidden="1" customHeight="1">
      <c r="A24" s="238" t="s">
        <v>380</v>
      </c>
      <c r="B24" s="246" t="s">
        <v>381</v>
      </c>
      <c r="C24" s="241" t="s">
        <v>375</v>
      </c>
      <c r="D24" s="242">
        <v>0</v>
      </c>
      <c r="E24" s="226">
        <v>1000</v>
      </c>
      <c r="F24" s="226">
        <f>E24*1.1</f>
        <v>1100</v>
      </c>
      <c r="G24" s="227">
        <f>F24*D24</f>
        <v>0</v>
      </c>
    </row>
    <row r="25" spans="1:7" ht="15" hidden="1" customHeight="1">
      <c r="A25" s="238" t="s">
        <v>382</v>
      </c>
      <c r="B25" s="245" t="s">
        <v>383</v>
      </c>
      <c r="C25" s="235"/>
      <c r="D25" s="229">
        <v>0</v>
      </c>
      <c r="E25" s="161"/>
      <c r="F25" s="161"/>
      <c r="G25" s="227">
        <f t="shared" si="2"/>
        <v>0</v>
      </c>
    </row>
    <row r="26" spans="1:7" ht="27" hidden="1" customHeight="1">
      <c r="A26" s="238" t="s">
        <v>384</v>
      </c>
      <c r="B26" s="248" t="s">
        <v>385</v>
      </c>
      <c r="C26" s="241" t="s">
        <v>8</v>
      </c>
      <c r="D26" s="242">
        <v>0</v>
      </c>
      <c r="E26" s="226">
        <f>91750*1.2</f>
        <v>110100</v>
      </c>
      <c r="F26" s="226">
        <f>E26*1.1</f>
        <v>121110.00000000001</v>
      </c>
      <c r="G26" s="227">
        <f>F26*D26</f>
        <v>0</v>
      </c>
    </row>
    <row r="27" spans="1:7" ht="15.75" customHeight="1">
      <c r="A27" s="238" t="s">
        <v>386</v>
      </c>
      <c r="B27" s="245" t="s">
        <v>387</v>
      </c>
      <c r="C27" s="235"/>
      <c r="D27" s="229"/>
      <c r="E27" s="161"/>
      <c r="F27" s="161"/>
      <c r="G27" s="227" t="s">
        <v>511</v>
      </c>
    </row>
    <row r="28" spans="1:7" ht="108" customHeight="1">
      <c r="A28" s="238" t="s">
        <v>388</v>
      </c>
      <c r="B28" s="249" t="s">
        <v>389</v>
      </c>
      <c r="C28" s="241" t="s">
        <v>588</v>
      </c>
      <c r="D28" s="242">
        <v>20</v>
      </c>
      <c r="E28" s="226">
        <f>3323.63-(3323.63*0.55/100)</f>
        <v>3305.3500349999999</v>
      </c>
      <c r="F28" s="226">
        <f>E28*1.1</f>
        <v>3635.8850385000001</v>
      </c>
      <c r="G28" s="227">
        <f>F28*D28</f>
        <v>72717.700769999996</v>
      </c>
    </row>
    <row r="29" spans="1:7" ht="14.25" hidden="1" customHeight="1">
      <c r="A29" s="238" t="s">
        <v>390</v>
      </c>
      <c r="B29" s="250" t="s">
        <v>472</v>
      </c>
      <c r="C29" s="235"/>
      <c r="D29" s="229">
        <v>0</v>
      </c>
      <c r="E29" s="161"/>
      <c r="F29" s="161"/>
      <c r="G29" s="227">
        <f t="shared" si="2"/>
        <v>0</v>
      </c>
    </row>
    <row r="30" spans="1:7" ht="162" hidden="1" customHeight="1">
      <c r="A30" s="238" t="s">
        <v>391</v>
      </c>
      <c r="B30" s="251" t="s">
        <v>392</v>
      </c>
      <c r="C30" s="241" t="s">
        <v>588</v>
      </c>
      <c r="D30" s="242">
        <v>0</v>
      </c>
      <c r="E30" s="226">
        <v>4131</v>
      </c>
      <c r="F30" s="226">
        <f>E30*1.1</f>
        <v>4544.1000000000004</v>
      </c>
      <c r="G30" s="227">
        <f>F30*D30</f>
        <v>0</v>
      </c>
    </row>
    <row r="31" spans="1:7" ht="144.75" hidden="1" customHeight="1">
      <c r="A31" s="252" t="s">
        <v>471</v>
      </c>
      <c r="B31" s="251" t="s">
        <v>474</v>
      </c>
      <c r="C31" s="241" t="s">
        <v>473</v>
      </c>
      <c r="D31" s="253">
        <v>0</v>
      </c>
      <c r="E31" s="226">
        <f>160.56*1.2</f>
        <v>192.672</v>
      </c>
      <c r="F31" s="226">
        <f>E31*1.1</f>
        <v>211.93920000000003</v>
      </c>
      <c r="G31" s="227">
        <f>F31*D31</f>
        <v>0</v>
      </c>
    </row>
    <row r="32" spans="1:7" s="46" customFormat="1" ht="15.75" hidden="1" customHeight="1">
      <c r="A32" s="238" t="s">
        <v>393</v>
      </c>
      <c r="B32" s="254" t="s">
        <v>394</v>
      </c>
      <c r="C32" s="241"/>
      <c r="D32" s="253">
        <v>0</v>
      </c>
      <c r="E32" s="163"/>
      <c r="F32" s="163"/>
      <c r="G32" s="227">
        <f t="shared" si="2"/>
        <v>0</v>
      </c>
    </row>
    <row r="33" spans="1:7" ht="153.75" hidden="1" customHeight="1">
      <c r="A33" s="238" t="s">
        <v>395</v>
      </c>
      <c r="B33" s="246" t="s">
        <v>469</v>
      </c>
      <c r="C33" s="241" t="s">
        <v>375</v>
      </c>
      <c r="D33" s="242">
        <v>0</v>
      </c>
      <c r="E33" s="255">
        <v>5755.2</v>
      </c>
      <c r="F33" s="226">
        <f>E33*1.1</f>
        <v>6330.72</v>
      </c>
      <c r="G33" s="227">
        <f>F33*D33</f>
        <v>0</v>
      </c>
    </row>
    <row r="34" spans="1:7" ht="15.75" customHeight="1">
      <c r="A34" s="238" t="s">
        <v>396</v>
      </c>
      <c r="B34" s="250" t="s">
        <v>397</v>
      </c>
      <c r="C34" s="235"/>
      <c r="D34" s="229"/>
      <c r="E34" s="161"/>
      <c r="F34" s="161"/>
      <c r="G34" s="227">
        <f t="shared" si="2"/>
        <v>0</v>
      </c>
    </row>
    <row r="35" spans="1:7" ht="78.75" customHeight="1">
      <c r="A35" s="238" t="s">
        <v>398</v>
      </c>
      <c r="B35" s="246" t="s">
        <v>399</v>
      </c>
      <c r="C35" s="241" t="s">
        <v>588</v>
      </c>
      <c r="D35" s="242">
        <v>100</v>
      </c>
      <c r="E35" s="226">
        <f>461-(461*0.55/100)</f>
        <v>458.46449999999999</v>
      </c>
      <c r="F35" s="226">
        <f>E35*1.1</f>
        <v>504.31095000000005</v>
      </c>
      <c r="G35" s="227">
        <f>F35*D35</f>
        <v>50431.095000000001</v>
      </c>
    </row>
    <row r="36" spans="1:7" ht="40.5" hidden="1" customHeight="1">
      <c r="A36" s="238" t="s">
        <v>400</v>
      </c>
      <c r="B36" s="157" t="s">
        <v>401</v>
      </c>
      <c r="C36" s="241" t="s">
        <v>588</v>
      </c>
      <c r="D36" s="242">
        <v>0</v>
      </c>
      <c r="E36" s="226">
        <f>712-(712*0.55/100)</f>
        <v>708.08399999999995</v>
      </c>
      <c r="F36" s="226">
        <f>E36*1.1</f>
        <v>778.89239999999995</v>
      </c>
      <c r="G36" s="227">
        <f>F36*D36</f>
        <v>0</v>
      </c>
    </row>
    <row r="37" spans="1:7" ht="63.75" customHeight="1">
      <c r="A37" s="238" t="s">
        <v>402</v>
      </c>
      <c r="B37" s="246" t="s">
        <v>403</v>
      </c>
      <c r="C37" s="241" t="s">
        <v>588</v>
      </c>
      <c r="D37" s="242">
        <v>50</v>
      </c>
      <c r="E37" s="226">
        <f>316-(316*0.55/100)</f>
        <v>314.262</v>
      </c>
      <c r="F37" s="226">
        <f>E37*1.1</f>
        <v>345.68820000000005</v>
      </c>
      <c r="G37" s="227">
        <f t="shared" ref="G37:G39" si="5">F37*D37</f>
        <v>17284.410000000003</v>
      </c>
    </row>
    <row r="38" spans="1:7" ht="95.25" hidden="1" customHeight="1">
      <c r="A38" s="238" t="s">
        <v>404</v>
      </c>
      <c r="B38" s="248" t="s">
        <v>467</v>
      </c>
      <c r="C38" s="241" t="s">
        <v>588</v>
      </c>
      <c r="D38" s="242">
        <v>0</v>
      </c>
      <c r="E38" s="226">
        <v>1543.39</v>
      </c>
      <c r="F38" s="226">
        <f>E38*1.1</f>
        <v>1697.7290000000003</v>
      </c>
      <c r="G38" s="227">
        <f t="shared" si="5"/>
        <v>0</v>
      </c>
    </row>
    <row r="39" spans="1:7" ht="90" customHeight="1">
      <c r="A39" s="238" t="s">
        <v>405</v>
      </c>
      <c r="B39" s="251" t="s">
        <v>406</v>
      </c>
      <c r="C39" s="241" t="s">
        <v>588</v>
      </c>
      <c r="D39" s="253">
        <v>85</v>
      </c>
      <c r="E39" s="226">
        <v>453.26</v>
      </c>
      <c r="F39" s="226">
        <f>E39*1.1</f>
        <v>498.58600000000001</v>
      </c>
      <c r="G39" s="227">
        <f t="shared" si="5"/>
        <v>42379.81</v>
      </c>
    </row>
    <row r="40" spans="1:7" ht="18.75" customHeight="1">
      <c r="A40" s="238" t="s">
        <v>407</v>
      </c>
      <c r="B40" s="239" t="s">
        <v>408</v>
      </c>
      <c r="C40" s="235"/>
      <c r="D40" s="229"/>
      <c r="E40" s="161"/>
      <c r="F40" s="161"/>
      <c r="G40" s="227" t="s">
        <v>511</v>
      </c>
    </row>
    <row r="41" spans="1:7" ht="74.25" customHeight="1">
      <c r="A41" s="238" t="s">
        <v>409</v>
      </c>
      <c r="B41" s="246" t="s">
        <v>410</v>
      </c>
      <c r="C41" s="241" t="s">
        <v>588</v>
      </c>
      <c r="D41" s="242">
        <v>30</v>
      </c>
      <c r="E41" s="226">
        <f>8968-(8968*0.55/100)</f>
        <v>8918.6759999999995</v>
      </c>
      <c r="F41" s="226">
        <f t="shared" ref="F41:F46" si="6">E41*1.1</f>
        <v>9810.5436000000009</v>
      </c>
      <c r="G41" s="227">
        <f t="shared" ref="G41:G46" si="7">F41*D41</f>
        <v>294316.30800000002</v>
      </c>
    </row>
    <row r="42" spans="1:7" ht="30" hidden="1" customHeight="1">
      <c r="A42" s="238" t="s">
        <v>411</v>
      </c>
      <c r="B42" s="248" t="s">
        <v>412</v>
      </c>
      <c r="C42" s="241" t="s">
        <v>588</v>
      </c>
      <c r="D42" s="242">
        <v>0</v>
      </c>
      <c r="E42" s="226">
        <v>10500</v>
      </c>
      <c r="F42" s="226">
        <f t="shared" si="6"/>
        <v>11550.000000000002</v>
      </c>
      <c r="G42" s="227">
        <f t="shared" si="7"/>
        <v>0</v>
      </c>
    </row>
    <row r="43" spans="1:7" ht="66" customHeight="1">
      <c r="A43" s="238" t="s">
        <v>413</v>
      </c>
      <c r="B43" s="246" t="s">
        <v>414</v>
      </c>
      <c r="C43" s="241" t="s">
        <v>588</v>
      </c>
      <c r="D43" s="242">
        <v>5</v>
      </c>
      <c r="E43" s="226">
        <v>9265</v>
      </c>
      <c r="F43" s="226">
        <f t="shared" si="6"/>
        <v>10191.5</v>
      </c>
      <c r="G43" s="227">
        <f t="shared" si="7"/>
        <v>50957.5</v>
      </c>
    </row>
    <row r="44" spans="1:7" s="46" customFormat="1" ht="116.25" customHeight="1">
      <c r="A44" s="238" t="s">
        <v>415</v>
      </c>
      <c r="B44" s="246" t="s">
        <v>481</v>
      </c>
      <c r="C44" s="241" t="s">
        <v>588</v>
      </c>
      <c r="D44" s="242">
        <v>65</v>
      </c>
      <c r="E44" s="226">
        <f>11870-(11870*0.55/100)</f>
        <v>11804.715</v>
      </c>
      <c r="F44" s="226">
        <f t="shared" si="6"/>
        <v>12985.186500000002</v>
      </c>
      <c r="G44" s="227">
        <f t="shared" si="7"/>
        <v>844037.12250000006</v>
      </c>
    </row>
    <row r="45" spans="1:7" ht="105" hidden="1" customHeight="1">
      <c r="A45" s="238" t="s">
        <v>416</v>
      </c>
      <c r="B45" s="246" t="s">
        <v>480</v>
      </c>
      <c r="C45" s="241" t="s">
        <v>588</v>
      </c>
      <c r="D45" s="242">
        <v>0</v>
      </c>
      <c r="E45" s="226">
        <v>10791</v>
      </c>
      <c r="F45" s="226">
        <f t="shared" si="6"/>
        <v>11870.1</v>
      </c>
      <c r="G45" s="227">
        <f t="shared" si="7"/>
        <v>0</v>
      </c>
    </row>
    <row r="46" spans="1:7" ht="131.25" hidden="1" customHeight="1">
      <c r="A46" s="238" t="s">
        <v>417</v>
      </c>
      <c r="B46" s="251" t="s">
        <v>482</v>
      </c>
      <c r="C46" s="241" t="s">
        <v>588</v>
      </c>
      <c r="D46" s="242">
        <v>0</v>
      </c>
      <c r="E46" s="226">
        <v>14987.5</v>
      </c>
      <c r="F46" s="226">
        <f t="shared" si="6"/>
        <v>16486.25</v>
      </c>
      <c r="G46" s="227">
        <f t="shared" si="7"/>
        <v>0</v>
      </c>
    </row>
    <row r="47" spans="1:7" ht="13.5" customHeight="1">
      <c r="A47" s="330" t="s">
        <v>418</v>
      </c>
      <c r="B47" s="254" t="s">
        <v>419</v>
      </c>
      <c r="C47" s="241"/>
      <c r="D47" s="253"/>
      <c r="E47" s="161"/>
      <c r="F47" s="161"/>
      <c r="G47" s="227" t="s">
        <v>511</v>
      </c>
    </row>
    <row r="48" spans="1:7" s="46" customFormat="1" ht="91.5" customHeight="1">
      <c r="A48" s="330"/>
      <c r="B48" s="160" t="s">
        <v>420</v>
      </c>
      <c r="C48" s="235"/>
      <c r="D48" s="229"/>
      <c r="E48" s="163"/>
      <c r="F48" s="163"/>
      <c r="G48" s="227" t="s">
        <v>511</v>
      </c>
    </row>
    <row r="49" spans="1:7" ht="34.5" customHeight="1">
      <c r="A49" s="238" t="s">
        <v>421</v>
      </c>
      <c r="B49" s="164" t="s">
        <v>422</v>
      </c>
      <c r="C49" s="241" t="s">
        <v>587</v>
      </c>
      <c r="D49" s="242">
        <v>100</v>
      </c>
      <c r="E49" s="226">
        <f>633-(633*0.55/100)</f>
        <v>629.51850000000002</v>
      </c>
      <c r="F49" s="226">
        <f t="shared" ref="F49:F50" si="8">E49*1.1</f>
        <v>692.47035000000005</v>
      </c>
      <c r="G49" s="227">
        <f t="shared" ref="G49:G50" si="9">F49*D49</f>
        <v>69247.035000000003</v>
      </c>
    </row>
    <row r="50" spans="1:7" s="46" customFormat="1" ht="39.75" hidden="1" customHeight="1">
      <c r="A50" s="238" t="s">
        <v>423</v>
      </c>
      <c r="B50" s="164" t="s">
        <v>424</v>
      </c>
      <c r="C50" s="241" t="s">
        <v>587</v>
      </c>
      <c r="D50" s="242">
        <v>0</v>
      </c>
      <c r="E50" s="226">
        <v>815</v>
      </c>
      <c r="F50" s="226">
        <f t="shared" si="8"/>
        <v>896.50000000000011</v>
      </c>
      <c r="G50" s="227">
        <f t="shared" si="9"/>
        <v>0</v>
      </c>
    </row>
    <row r="51" spans="1:7" s="46" customFormat="1" ht="12" customHeight="1">
      <c r="A51" s="238" t="s">
        <v>425</v>
      </c>
      <c r="B51" s="165" t="s">
        <v>426</v>
      </c>
      <c r="C51" s="241"/>
      <c r="D51" s="242"/>
      <c r="E51" s="163"/>
      <c r="F51" s="163"/>
      <c r="G51" s="227">
        <f t="shared" si="2"/>
        <v>0</v>
      </c>
    </row>
    <row r="52" spans="1:7" ht="64.5" customHeight="1">
      <c r="A52" s="238" t="s">
        <v>427</v>
      </c>
      <c r="B52" s="246" t="s">
        <v>428</v>
      </c>
      <c r="C52" s="241" t="s">
        <v>429</v>
      </c>
      <c r="D52" s="242">
        <v>3</v>
      </c>
      <c r="E52" s="226">
        <f>123317-(123317*0.55/100)</f>
        <v>122638.7565</v>
      </c>
      <c r="F52" s="226">
        <f>E52*1.1</f>
        <v>134902.63215000002</v>
      </c>
      <c r="G52" s="227">
        <f>F52*D52</f>
        <v>404707.89645000006</v>
      </c>
    </row>
    <row r="53" spans="1:7" s="46" customFormat="1" ht="12.75" hidden="1" customHeight="1">
      <c r="A53" s="238" t="s">
        <v>430</v>
      </c>
      <c r="B53" s="165" t="s">
        <v>431</v>
      </c>
      <c r="C53" s="157"/>
      <c r="D53" s="242">
        <v>0</v>
      </c>
      <c r="E53" s="163"/>
      <c r="F53" s="163"/>
      <c r="G53" s="227">
        <f t="shared" si="2"/>
        <v>0</v>
      </c>
    </row>
    <row r="54" spans="1:7" s="46" customFormat="1" ht="155.25" hidden="1" customHeight="1">
      <c r="A54" s="238" t="s">
        <v>432</v>
      </c>
      <c r="B54" s="160" t="s">
        <v>433</v>
      </c>
      <c r="C54" s="241" t="s">
        <v>429</v>
      </c>
      <c r="D54" s="242">
        <v>0</v>
      </c>
      <c r="E54" s="226">
        <f>131890-(131890*0.55/100)</f>
        <v>131164.60500000001</v>
      </c>
      <c r="F54" s="226">
        <f>E54*1.1</f>
        <v>144281.06550000003</v>
      </c>
      <c r="G54" s="227">
        <f>F54*D54</f>
        <v>0</v>
      </c>
    </row>
    <row r="55" spans="1:7" s="46" customFormat="1" ht="15.75" customHeight="1">
      <c r="A55" s="238" t="s">
        <v>434</v>
      </c>
      <c r="B55" s="166" t="s">
        <v>435</v>
      </c>
      <c r="C55" s="157"/>
      <c r="D55" s="253"/>
      <c r="E55" s="163"/>
      <c r="F55" s="163"/>
      <c r="G55" s="227" t="s">
        <v>511</v>
      </c>
    </row>
    <row r="56" spans="1:7" s="46" customFormat="1" ht="91.5" hidden="1" customHeight="1">
      <c r="A56" s="238" t="s">
        <v>436</v>
      </c>
      <c r="B56" s="160" t="s">
        <v>437</v>
      </c>
      <c r="C56" s="241" t="s">
        <v>429</v>
      </c>
      <c r="D56" s="242">
        <v>0</v>
      </c>
      <c r="E56" s="226">
        <f>237402-(237402*0.55/100)</f>
        <v>236096.28899999999</v>
      </c>
      <c r="F56" s="226">
        <f>E56*1.1</f>
        <v>259705.9179</v>
      </c>
      <c r="G56" s="227">
        <f t="shared" ref="G56:G59" si="10">F56*D56</f>
        <v>0</v>
      </c>
    </row>
    <row r="57" spans="1:7" s="47" customFormat="1" ht="90" customHeight="1">
      <c r="A57" s="238" t="s">
        <v>438</v>
      </c>
      <c r="B57" s="160" t="s">
        <v>439</v>
      </c>
      <c r="C57" s="241" t="s">
        <v>440</v>
      </c>
      <c r="D57" s="242">
        <v>0.5</v>
      </c>
      <c r="E57" s="226">
        <f>171457-(171457*0.55/100)</f>
        <v>170513.9865</v>
      </c>
      <c r="F57" s="226">
        <f>E57*1.1</f>
        <v>187565.38515000002</v>
      </c>
      <c r="G57" s="227">
        <f t="shared" si="10"/>
        <v>93782.692575000008</v>
      </c>
    </row>
    <row r="58" spans="1:7" s="47" customFormat="1" ht="91.5" hidden="1" customHeight="1">
      <c r="A58" s="238" t="s">
        <v>441</v>
      </c>
      <c r="B58" s="160" t="s">
        <v>470</v>
      </c>
      <c r="C58" s="241" t="s">
        <v>440</v>
      </c>
      <c r="D58" s="242">
        <v>0</v>
      </c>
      <c r="E58" s="226">
        <v>227015.66</v>
      </c>
      <c r="F58" s="226">
        <f>E58*1.1</f>
        <v>249717.22600000002</v>
      </c>
      <c r="G58" s="227">
        <f t="shared" si="10"/>
        <v>0</v>
      </c>
    </row>
    <row r="59" spans="1:7" s="47" customFormat="1" ht="91.5" customHeight="1">
      <c r="A59" s="238" t="s">
        <v>510</v>
      </c>
      <c r="B59" s="160" t="s">
        <v>470</v>
      </c>
      <c r="C59" s="241" t="s">
        <v>440</v>
      </c>
      <c r="D59" s="242">
        <v>0.02</v>
      </c>
      <c r="E59" s="226">
        <v>183123.79</v>
      </c>
      <c r="F59" s="226">
        <f>E59*1.1</f>
        <v>201436.16900000002</v>
      </c>
      <c r="G59" s="227">
        <f t="shared" si="10"/>
        <v>4028.7233800000004</v>
      </c>
    </row>
    <row r="60" spans="1:7" s="47" customFormat="1" ht="13.5" customHeight="1">
      <c r="A60" s="238" t="s">
        <v>442</v>
      </c>
      <c r="B60" s="167" t="s">
        <v>443</v>
      </c>
      <c r="C60" s="241"/>
      <c r="D60" s="253"/>
      <c r="E60" s="168"/>
      <c r="F60" s="168"/>
      <c r="G60" s="227" t="s">
        <v>511</v>
      </c>
    </row>
    <row r="61" spans="1:7" s="47" customFormat="1" ht="78.75" customHeight="1">
      <c r="A61" s="238" t="s">
        <v>444</v>
      </c>
      <c r="B61" s="160" t="s">
        <v>445</v>
      </c>
      <c r="C61" s="241" t="s">
        <v>588</v>
      </c>
      <c r="D61" s="242">
        <v>13</v>
      </c>
      <c r="E61" s="226">
        <f>10603-(10603*0.55/100)</f>
        <v>10544.683499999999</v>
      </c>
      <c r="F61" s="226">
        <f>E61*1.1</f>
        <v>11599.15185</v>
      </c>
      <c r="G61" s="227">
        <f>F61*D61</f>
        <v>150788.97404999999</v>
      </c>
    </row>
    <row r="62" spans="1:7" s="47" customFormat="1" ht="82.5" hidden="1" customHeight="1">
      <c r="A62" s="238" t="s">
        <v>446</v>
      </c>
      <c r="B62" s="160" t="s">
        <v>447</v>
      </c>
      <c r="C62" s="230" t="s">
        <v>587</v>
      </c>
      <c r="D62" s="242">
        <v>0</v>
      </c>
      <c r="E62" s="226">
        <f>6881.25*1.2</f>
        <v>8257.5</v>
      </c>
      <c r="F62" s="226">
        <f>E62*1.1</f>
        <v>9083.25</v>
      </c>
      <c r="G62" s="227">
        <f>F62*D62</f>
        <v>0</v>
      </c>
    </row>
    <row r="63" spans="1:7" s="46" customFormat="1" ht="52.8">
      <c r="A63" s="238" t="s">
        <v>448</v>
      </c>
      <c r="B63" s="167" t="s">
        <v>449</v>
      </c>
      <c r="C63" s="241" t="s">
        <v>587</v>
      </c>
      <c r="D63" s="253">
        <v>150</v>
      </c>
      <c r="E63" s="226">
        <f>454.17-(454.17*0.55/100)</f>
        <v>451.67206500000003</v>
      </c>
      <c r="F63" s="226">
        <f>E63*1.1</f>
        <v>496.83927150000005</v>
      </c>
      <c r="G63" s="227">
        <f>F63*D63</f>
        <v>74525.890725000005</v>
      </c>
    </row>
    <row r="64" spans="1:7" s="46" customFormat="1" ht="38.25" hidden="1" customHeight="1">
      <c r="A64" s="238" t="s">
        <v>583</v>
      </c>
      <c r="B64" s="160" t="s">
        <v>450</v>
      </c>
      <c r="C64" s="241" t="s">
        <v>587</v>
      </c>
      <c r="D64" s="45">
        <v>0</v>
      </c>
      <c r="E64" s="226">
        <f>174.33*1.2</f>
        <v>209.196</v>
      </c>
      <c r="F64" s="226">
        <f>E64*1.1</f>
        <v>230.11560000000003</v>
      </c>
      <c r="G64" s="227">
        <f>F64*D64</f>
        <v>0</v>
      </c>
    </row>
    <row r="65" spans="1:7" s="46" customFormat="1" ht="38.25" customHeight="1">
      <c r="A65" s="238" t="s">
        <v>585</v>
      </c>
      <c r="B65" s="167" t="s">
        <v>586</v>
      </c>
      <c r="C65" s="241"/>
      <c r="D65" s="253"/>
      <c r="E65" s="226"/>
      <c r="F65" s="226"/>
      <c r="G65" s="227"/>
    </row>
    <row r="66" spans="1:7" s="46" customFormat="1" ht="39" customHeight="1">
      <c r="A66" s="238" t="s">
        <v>584</v>
      </c>
      <c r="B66" s="256" t="s">
        <v>485</v>
      </c>
      <c r="C66" s="235" t="s">
        <v>8</v>
      </c>
      <c r="D66" s="253">
        <v>1</v>
      </c>
      <c r="E66" s="226">
        <f>287460-(287460*0.55/100)</f>
        <v>285878.96999999997</v>
      </c>
      <c r="F66" s="226">
        <f>E66*1.1</f>
        <v>314466.86699999997</v>
      </c>
      <c r="G66" s="227">
        <f>F66*D66</f>
        <v>314466.86699999997</v>
      </c>
    </row>
    <row r="67" spans="1:7" ht="47.25" customHeight="1">
      <c r="A67" s="257"/>
      <c r="B67" s="258" t="s">
        <v>462</v>
      </c>
      <c r="C67" s="324"/>
      <c r="D67" s="324"/>
      <c r="E67" s="259"/>
      <c r="F67" s="259"/>
      <c r="G67" s="231">
        <f>SUM(G8:G66)</f>
        <v>3436005.11045</v>
      </c>
    </row>
    <row r="68" spans="1:7" ht="19.5" customHeight="1">
      <c r="D68" s="49"/>
    </row>
    <row r="69" spans="1:7" ht="18" customHeight="1">
      <c r="B69" s="50"/>
    </row>
    <row r="70" spans="1:7" ht="39.9" customHeight="1">
      <c r="A70" s="48"/>
      <c r="B70" s="46"/>
      <c r="C70" s="52"/>
      <c r="E70" s="82"/>
      <c r="F70" s="82"/>
      <c r="G70" s="84"/>
    </row>
    <row r="71" spans="1:7" ht="39.9" customHeight="1">
      <c r="A71" s="48"/>
      <c r="B71" s="46"/>
      <c r="D71" s="53"/>
    </row>
    <row r="72" spans="1:7" ht="99" customHeight="1">
      <c r="B72" s="50"/>
    </row>
    <row r="73" spans="1:7" ht="18" customHeight="1"/>
    <row r="74" spans="1:7" ht="39.9" customHeight="1"/>
    <row r="75" spans="1:7" ht="39.9" customHeight="1"/>
    <row r="76" spans="1:7" ht="39.9" customHeight="1"/>
    <row r="77" spans="1:7" ht="39.9" customHeight="1"/>
    <row r="78" spans="1:7" ht="22.5" customHeight="1"/>
    <row r="79" spans="1:7" ht="97.5" customHeight="1">
      <c r="B79" s="50"/>
    </row>
    <row r="80" spans="1:7" ht="27" customHeight="1"/>
    <row r="81" spans="1:7" ht="39.9" customHeight="1"/>
    <row r="82" spans="1:7" ht="39.9" customHeight="1"/>
    <row r="83" spans="1:7" ht="22.5" customHeight="1"/>
    <row r="84" spans="1:7" ht="81.75" customHeight="1">
      <c r="B84" s="50"/>
    </row>
    <row r="85" spans="1:7" ht="40.5" customHeight="1"/>
    <row r="86" spans="1:7" ht="21" customHeight="1"/>
    <row r="87" spans="1:7" ht="57.75" customHeight="1">
      <c r="B87" s="50"/>
    </row>
    <row r="88" spans="1:7" ht="24.75" customHeight="1"/>
    <row r="89" spans="1:7" ht="39.9" customHeight="1"/>
    <row r="90" spans="1:7" ht="39.9" customHeight="1"/>
    <row r="91" spans="1:7" ht="39.9" customHeight="1"/>
    <row r="92" spans="1:7" ht="39.9" customHeight="1"/>
    <row r="93" spans="1:7" ht="39.9" customHeight="1"/>
    <row r="94" spans="1:7" ht="39.9" customHeight="1"/>
    <row r="95" spans="1:7" ht="39.9" customHeight="1">
      <c r="A95" s="48"/>
      <c r="B95" s="46"/>
      <c r="C95" s="52"/>
      <c r="E95" s="82"/>
      <c r="F95" s="82"/>
      <c r="G95" s="84"/>
    </row>
    <row r="96" spans="1:7" ht="39.9" customHeight="1">
      <c r="A96" s="48"/>
      <c r="B96" s="46"/>
      <c r="C96" s="52"/>
      <c r="D96" s="53"/>
    </row>
    <row r="97" spans="2:7" ht="39.9" customHeight="1">
      <c r="B97" s="50"/>
    </row>
    <row r="98" spans="2:7" ht="21.75" customHeight="1"/>
    <row r="99" spans="2:7" ht="39.9" customHeight="1">
      <c r="B99" s="50"/>
    </row>
    <row r="100" spans="2:7" s="45" customFormat="1" ht="30" customHeight="1">
      <c r="B100" s="44"/>
      <c r="C100" s="49"/>
      <c r="D100" s="51"/>
      <c r="E100" s="81"/>
      <c r="F100" s="81"/>
      <c r="G100" s="83"/>
    </row>
    <row r="101" spans="2:7" s="45" customFormat="1" ht="39.9" customHeight="1">
      <c r="B101" s="50"/>
      <c r="C101" s="49"/>
      <c r="D101" s="51"/>
      <c r="E101" s="81"/>
      <c r="F101" s="81"/>
      <c r="G101" s="83"/>
    </row>
    <row r="102" spans="2:7" s="45" customFormat="1" ht="30.75" customHeight="1">
      <c r="B102" s="44"/>
      <c r="C102" s="49"/>
      <c r="D102" s="51"/>
      <c r="E102" s="81"/>
      <c r="F102" s="81"/>
      <c r="G102" s="83"/>
    </row>
    <row r="103" spans="2:7" s="45" customFormat="1" ht="39.9" customHeight="1">
      <c r="B103" s="50"/>
      <c r="C103" s="49"/>
      <c r="D103" s="51"/>
      <c r="E103" s="81"/>
      <c r="F103" s="81"/>
      <c r="G103" s="83"/>
    </row>
    <row r="104" spans="2:7" s="45" customFormat="1" ht="22.5" customHeight="1">
      <c r="B104" s="44"/>
      <c r="C104" s="49"/>
      <c r="D104" s="51"/>
      <c r="E104" s="81"/>
      <c r="F104" s="81"/>
      <c r="G104" s="83"/>
    </row>
    <row r="105" spans="2:7" s="45" customFormat="1" ht="39.9" customHeight="1">
      <c r="B105" s="50"/>
      <c r="C105" s="49"/>
      <c r="D105" s="51"/>
      <c r="E105" s="81"/>
      <c r="F105" s="81"/>
      <c r="G105" s="83"/>
    </row>
    <row r="106" spans="2:7" s="45" customFormat="1" ht="24.75" customHeight="1">
      <c r="B106" s="44"/>
      <c r="C106" s="49"/>
      <c r="D106" s="51"/>
      <c r="E106" s="81"/>
      <c r="F106" s="81"/>
      <c r="G106" s="83"/>
    </row>
    <row r="107" spans="2:7" s="45" customFormat="1" ht="39.9" customHeight="1">
      <c r="B107" s="50"/>
      <c r="C107" s="49"/>
      <c r="D107" s="51"/>
      <c r="E107" s="81"/>
      <c r="F107" s="81"/>
      <c r="G107" s="83"/>
    </row>
    <row r="108" spans="2:7" s="45" customFormat="1" ht="24" customHeight="1">
      <c r="B108" s="44"/>
      <c r="C108" s="49"/>
      <c r="D108" s="51"/>
      <c r="E108" s="81"/>
      <c r="F108" s="81"/>
      <c r="G108" s="83"/>
    </row>
    <row r="109" spans="2:7" s="45" customFormat="1" ht="39.9" customHeight="1">
      <c r="B109" s="44"/>
      <c r="C109" s="49"/>
      <c r="D109" s="51"/>
      <c r="E109" s="81"/>
      <c r="F109" s="81"/>
      <c r="G109" s="83"/>
    </row>
    <row r="110" spans="2:7" s="45" customFormat="1" ht="25.5" customHeight="1">
      <c r="B110" s="44"/>
      <c r="C110" s="49"/>
      <c r="D110" s="51"/>
      <c r="E110" s="81"/>
      <c r="F110" s="81"/>
      <c r="G110" s="83"/>
    </row>
    <row r="111" spans="2:7" s="45" customFormat="1" ht="39.9" customHeight="1">
      <c r="B111" s="44"/>
      <c r="C111" s="49"/>
      <c r="D111" s="51"/>
      <c r="E111" s="81"/>
      <c r="F111" s="81"/>
      <c r="G111" s="83"/>
    </row>
    <row r="112" spans="2:7" s="45" customFormat="1" ht="27" customHeight="1">
      <c r="B112" s="44"/>
      <c r="C112" s="49"/>
      <c r="D112" s="51"/>
      <c r="E112" s="81"/>
      <c r="F112" s="81"/>
      <c r="G112" s="83"/>
    </row>
    <row r="113" spans="2:7" s="45" customFormat="1" ht="39.9" customHeight="1">
      <c r="B113" s="44"/>
      <c r="C113" s="49"/>
      <c r="D113" s="51"/>
      <c r="E113" s="81"/>
      <c r="F113" s="81"/>
      <c r="G113" s="83"/>
    </row>
    <row r="114" spans="2:7" s="45" customFormat="1" ht="15.75" customHeight="1">
      <c r="B114" s="44"/>
      <c r="C114" s="49"/>
      <c r="D114" s="51"/>
      <c r="E114" s="81"/>
      <c r="F114" s="81"/>
      <c r="G114" s="83"/>
    </row>
    <row r="115" spans="2:7" s="45" customFormat="1" ht="39.9" customHeight="1">
      <c r="B115" s="54"/>
      <c r="C115" s="49"/>
      <c r="D115" s="51"/>
      <c r="E115" s="81"/>
      <c r="F115" s="81"/>
      <c r="G115" s="83"/>
    </row>
    <row r="116" spans="2:7" s="45" customFormat="1" ht="24" customHeight="1">
      <c r="B116" s="44"/>
      <c r="C116" s="49"/>
      <c r="D116" s="51"/>
      <c r="E116" s="81"/>
      <c r="F116" s="81"/>
      <c r="G116" s="83"/>
    </row>
    <row r="117" spans="2:7" s="45" customFormat="1" ht="39.9" customHeight="1">
      <c r="B117" s="44"/>
      <c r="C117" s="49"/>
      <c r="D117" s="51"/>
      <c r="E117" s="81"/>
      <c r="F117" s="81"/>
      <c r="G117" s="83"/>
    </row>
    <row r="118" spans="2:7" s="45" customFormat="1" ht="24.75" customHeight="1">
      <c r="B118" s="44"/>
      <c r="C118" s="49"/>
      <c r="D118" s="51"/>
      <c r="E118" s="81"/>
      <c r="F118" s="81"/>
      <c r="G118" s="83"/>
    </row>
    <row r="119" spans="2:7" s="45" customFormat="1" ht="39.9" customHeight="1">
      <c r="B119" s="50"/>
      <c r="C119" s="49"/>
      <c r="D119" s="51"/>
      <c r="E119" s="81"/>
      <c r="F119" s="81"/>
      <c r="G119" s="83"/>
    </row>
    <row r="120" spans="2:7" s="45" customFormat="1" ht="39.9" customHeight="1">
      <c r="B120" s="44"/>
      <c r="C120" s="49"/>
      <c r="D120" s="51"/>
      <c r="E120" s="81"/>
      <c r="F120" s="81"/>
      <c r="G120" s="83"/>
    </row>
    <row r="121" spans="2:7" s="45" customFormat="1" ht="39.9" customHeight="1">
      <c r="B121" s="50"/>
      <c r="C121" s="49"/>
      <c r="D121" s="51"/>
      <c r="E121" s="81"/>
      <c r="F121" s="81"/>
      <c r="G121" s="83"/>
    </row>
    <row r="122" spans="2:7" s="45" customFormat="1" ht="22.5" customHeight="1">
      <c r="B122" s="44"/>
      <c r="C122" s="49"/>
      <c r="D122" s="51"/>
      <c r="E122" s="81"/>
      <c r="F122" s="81"/>
      <c r="G122" s="83"/>
    </row>
    <row r="123" spans="2:7" s="45" customFormat="1" ht="39.9" customHeight="1">
      <c r="B123" s="50"/>
      <c r="C123" s="49"/>
      <c r="D123" s="51"/>
      <c r="E123" s="81"/>
      <c r="F123" s="81"/>
      <c r="G123" s="83"/>
    </row>
    <row r="124" spans="2:7" s="45" customFormat="1" ht="30" customHeight="1">
      <c r="B124" s="44"/>
      <c r="C124" s="49"/>
      <c r="D124" s="51"/>
      <c r="E124" s="81"/>
      <c r="F124" s="81"/>
      <c r="G124" s="83"/>
    </row>
    <row r="125" spans="2:7" s="45" customFormat="1" ht="39.9" customHeight="1">
      <c r="B125" s="44"/>
      <c r="C125" s="49"/>
      <c r="D125" s="51"/>
      <c r="E125" s="81"/>
      <c r="F125" s="81"/>
      <c r="G125" s="83"/>
    </row>
    <row r="126" spans="2:7" s="45" customFormat="1" ht="30" customHeight="1">
      <c r="B126" s="44"/>
      <c r="C126" s="49"/>
      <c r="D126" s="51"/>
      <c r="E126" s="81"/>
      <c r="F126" s="81"/>
      <c r="G126" s="83"/>
    </row>
    <row r="127" spans="2:7" s="45" customFormat="1" ht="39.9" customHeight="1">
      <c r="B127" s="50"/>
      <c r="C127" s="49"/>
      <c r="D127" s="51"/>
      <c r="E127" s="81"/>
      <c r="F127" s="81"/>
      <c r="G127" s="83"/>
    </row>
    <row r="128" spans="2:7" s="45" customFormat="1" ht="39.9" customHeight="1">
      <c r="B128" s="44"/>
      <c r="C128" s="49"/>
      <c r="D128" s="51"/>
      <c r="E128" s="81"/>
      <c r="F128" s="81"/>
      <c r="G128" s="83"/>
    </row>
    <row r="129" spans="1:7" s="45" customFormat="1" ht="39.9" customHeight="1">
      <c r="B129" s="50"/>
      <c r="C129" s="49"/>
      <c r="D129" s="51"/>
      <c r="E129" s="81"/>
      <c r="F129" s="81"/>
      <c r="G129" s="83"/>
    </row>
    <row r="130" spans="1:7" s="45" customFormat="1" ht="39.9" customHeight="1">
      <c r="B130" s="44"/>
      <c r="C130" s="49"/>
      <c r="D130" s="51"/>
      <c r="E130" s="81"/>
      <c r="F130" s="81"/>
      <c r="G130" s="83"/>
    </row>
    <row r="131" spans="1:7" s="45" customFormat="1" ht="39.9" customHeight="1">
      <c r="B131" s="50"/>
      <c r="C131" s="49"/>
      <c r="D131" s="51"/>
      <c r="E131" s="81"/>
      <c r="F131" s="81"/>
      <c r="G131" s="83"/>
    </row>
    <row r="132" spans="1:7" ht="39.9" customHeight="1"/>
    <row r="133" spans="1:7" ht="39.9" customHeight="1">
      <c r="B133" s="50"/>
    </row>
    <row r="134" spans="1:7" ht="39.9" customHeight="1"/>
    <row r="135" spans="1:7" ht="39.9" customHeight="1">
      <c r="B135" s="50"/>
    </row>
    <row r="136" spans="1:7" ht="39.9" customHeight="1"/>
    <row r="137" spans="1:7" ht="39.9" customHeight="1">
      <c r="B137" s="50"/>
    </row>
    <row r="138" spans="1:7" ht="39.9" customHeight="1">
      <c r="A138" s="48"/>
      <c r="B138" s="46"/>
      <c r="C138" s="52"/>
      <c r="E138" s="82"/>
      <c r="F138" s="82"/>
      <c r="G138" s="84"/>
    </row>
    <row r="139" spans="1:7" ht="39.9" customHeight="1">
      <c r="A139" s="48"/>
      <c r="B139" s="46"/>
      <c r="D139" s="53"/>
    </row>
    <row r="140" spans="1:7" ht="76.5" customHeight="1">
      <c r="B140" s="50"/>
    </row>
    <row r="141" spans="1:7" ht="66.75" customHeight="1">
      <c r="B141" s="50"/>
    </row>
    <row r="142" spans="1:7" ht="39.9" customHeight="1">
      <c r="A142" s="48"/>
      <c r="B142" s="46"/>
      <c r="C142" s="52"/>
      <c r="E142" s="82"/>
      <c r="F142" s="82"/>
      <c r="G142" s="84"/>
    </row>
    <row r="143" spans="1:7" ht="39.9" customHeight="1">
      <c r="A143" s="48"/>
      <c r="B143" s="46"/>
      <c r="D143" s="53"/>
    </row>
    <row r="144" spans="1:7" ht="72.75" customHeight="1">
      <c r="B144" s="50"/>
    </row>
    <row r="145" spans="1:7" ht="39.9" customHeight="1">
      <c r="A145" s="48"/>
      <c r="B145" s="46"/>
      <c r="C145" s="52"/>
      <c r="E145" s="82"/>
      <c r="F145" s="82"/>
      <c r="G145" s="84"/>
    </row>
    <row r="146" spans="1:7" ht="31.5" customHeight="1">
      <c r="A146" s="48"/>
      <c r="B146" s="46"/>
      <c r="D146" s="53"/>
    </row>
    <row r="147" spans="1:7" ht="61.5" customHeight="1">
      <c r="B147" s="50"/>
    </row>
    <row r="148" spans="1:7" ht="39.9" customHeight="1">
      <c r="A148" s="48"/>
      <c r="B148" s="46"/>
      <c r="C148" s="52"/>
      <c r="E148" s="82"/>
      <c r="F148" s="82"/>
      <c r="G148" s="84"/>
    </row>
    <row r="149" spans="1:7" ht="30" customHeight="1">
      <c r="A149" s="48"/>
      <c r="B149" s="46"/>
      <c r="C149" s="52"/>
      <c r="D149" s="53"/>
      <c r="E149" s="82"/>
      <c r="F149" s="82"/>
      <c r="G149" s="84"/>
    </row>
    <row r="150" spans="1:7" ht="54.75" customHeight="1">
      <c r="B150" s="50"/>
      <c r="D150" s="53"/>
    </row>
    <row r="151" spans="1:7" ht="24.75" customHeight="1"/>
    <row r="152" spans="1:7" ht="39.9" customHeight="1"/>
    <row r="153" spans="1:7" ht="39.9" customHeight="1"/>
    <row r="154" spans="1:7" ht="39.9" customHeight="1"/>
    <row r="155" spans="1:7" ht="39.9" customHeight="1"/>
    <row r="156" spans="1:7" ht="39.9" customHeight="1"/>
    <row r="157" spans="1:7" ht="39.9" customHeight="1"/>
    <row r="158" spans="1:7" ht="39.9" customHeight="1"/>
    <row r="159" spans="1:7" ht="39.9" customHeight="1"/>
    <row r="160" spans="1:7"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row r="297" ht="39.9" customHeight="1"/>
    <row r="298" ht="39.9" customHeight="1"/>
    <row r="299" ht="39.9" customHeight="1"/>
    <row r="300" ht="39.9" customHeight="1"/>
    <row r="301" ht="39.9" customHeight="1"/>
    <row r="302" ht="39.9" customHeight="1"/>
    <row r="303" ht="39.9" customHeight="1"/>
    <row r="304" ht="39.9" customHeight="1"/>
    <row r="305" ht="39.9" customHeight="1"/>
    <row r="306" ht="39.9" customHeight="1"/>
    <row r="307" ht="39.9" customHeight="1"/>
    <row r="308" ht="39.9" customHeight="1"/>
    <row r="309" ht="39.9" customHeight="1"/>
    <row r="310" ht="39.9" customHeight="1"/>
    <row r="311" ht="39.9" customHeight="1"/>
    <row r="312" ht="39.9" customHeight="1"/>
    <row r="313" ht="39.9" customHeight="1"/>
    <row r="314" ht="39.9" customHeight="1"/>
    <row r="315" ht="39.9" customHeight="1"/>
    <row r="316" ht="39.9" customHeight="1"/>
  </sheetData>
  <sheetProtection password="CEE5" sheet="1" objects="1" scenarios="1" formatCells="0" formatColumns="0" formatRows="0"/>
  <autoFilter ref="D1:D316">
    <filterColumn colId="0">
      <filters blank="1">
        <filter val="(2)"/>
        <filter val="0.02"/>
        <filter val="0.5"/>
        <filter val="1"/>
        <filter val="10"/>
        <filter val="100"/>
        <filter val="13"/>
        <filter val="150"/>
        <filter val="1800"/>
        <filter val="20"/>
        <filter val="250"/>
        <filter val="3"/>
        <filter val="30"/>
        <filter val="300"/>
        <filter val="5"/>
        <filter val="50"/>
        <filter val="65"/>
        <filter val="700"/>
        <filter val="85"/>
        <filter val="Qty."/>
      </filters>
    </filterColumn>
  </autoFilter>
  <mergeCells count="7">
    <mergeCell ref="C67:D67"/>
    <mergeCell ref="B1:G1"/>
    <mergeCell ref="A2:G2"/>
    <mergeCell ref="A3:G3"/>
    <mergeCell ref="A4:G4"/>
    <mergeCell ref="C7:G7"/>
    <mergeCell ref="A47:A48"/>
  </mergeCells>
  <printOptions horizontalCentered="1"/>
  <pageMargins left="0.16" right="0.15" top="0.11" bottom="0.16" header="0.196850393700787" footer="0.16"/>
  <pageSetup paperSize="9" scale="58"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filterMode="1">
    <tabColor rgb="FF92D050"/>
  </sheetPr>
  <dimension ref="A1:G30"/>
  <sheetViews>
    <sheetView view="pageBreakPreview" zoomScale="70" zoomScaleNormal="70" zoomScaleSheetLayoutView="70" workbookViewId="0">
      <selection activeCell="I3" sqref="I3"/>
    </sheetView>
  </sheetViews>
  <sheetFormatPr defaultColWidth="9.109375" defaultRowHeight="14.4"/>
  <cols>
    <col min="1" max="1" width="25.44140625" style="3" customWidth="1"/>
    <col min="2" max="2" width="70" style="3" customWidth="1"/>
    <col min="3" max="3" width="16.6640625" style="3" customWidth="1"/>
    <col min="4" max="4" width="15.33203125" style="66" customWidth="1"/>
    <col min="5" max="5" width="29.33203125" style="85" hidden="1" customWidth="1"/>
    <col min="6" max="6" width="29.33203125" style="85" customWidth="1"/>
    <col min="7" max="7" width="34.6640625" style="86" customWidth="1"/>
    <col min="8" max="8" width="9.109375" style="3" customWidth="1"/>
    <col min="9" max="16384" width="9.109375" style="3"/>
  </cols>
  <sheetData>
    <row r="1" spans="1:7" ht="112.5" customHeight="1">
      <c r="A1" s="103" t="s">
        <v>475</v>
      </c>
      <c r="B1" s="333" t="s">
        <v>574</v>
      </c>
      <c r="C1" s="334"/>
      <c r="D1" s="334"/>
      <c r="E1" s="334"/>
      <c r="F1" s="334"/>
      <c r="G1" s="335"/>
    </row>
    <row r="2" spans="1:7" s="17" customFormat="1" ht="40.5" customHeight="1">
      <c r="A2" s="316" t="s">
        <v>593</v>
      </c>
      <c r="B2" s="316"/>
      <c r="C2" s="316"/>
      <c r="D2" s="316"/>
      <c r="E2" s="316"/>
      <c r="F2" s="316"/>
      <c r="G2" s="316"/>
    </row>
    <row r="3" spans="1:7" s="18" customFormat="1" ht="18" customHeight="1">
      <c r="A3" s="328" t="s">
        <v>527</v>
      </c>
      <c r="B3" s="328"/>
      <c r="C3" s="328"/>
      <c r="D3" s="328"/>
      <c r="E3" s="328"/>
      <c r="F3" s="328"/>
      <c r="G3" s="328"/>
    </row>
    <row r="4" spans="1:7" s="29" customFormat="1" ht="18" customHeight="1">
      <c r="A4" s="328" t="s">
        <v>0</v>
      </c>
      <c r="B4" s="328"/>
      <c r="C4" s="328"/>
      <c r="D4" s="328"/>
      <c r="E4" s="328"/>
      <c r="F4" s="328"/>
      <c r="G4" s="328"/>
    </row>
    <row r="5" spans="1:7" ht="166.5" customHeight="1">
      <c r="A5" s="142" t="s">
        <v>1</v>
      </c>
      <c r="B5" s="142" t="s">
        <v>2</v>
      </c>
      <c r="C5" s="142" t="s">
        <v>3</v>
      </c>
      <c r="D5" s="142" t="s">
        <v>477</v>
      </c>
      <c r="E5" s="97" t="s">
        <v>478</v>
      </c>
      <c r="F5" s="237" t="s">
        <v>478</v>
      </c>
      <c r="G5" s="91" t="s">
        <v>479</v>
      </c>
    </row>
    <row r="6" spans="1:7" ht="15.6">
      <c r="A6" s="143"/>
      <c r="B6" s="143"/>
      <c r="C6" s="113" t="s">
        <v>4</v>
      </c>
      <c r="D6" s="114" t="s">
        <v>5</v>
      </c>
      <c r="E6" s="98" t="s">
        <v>6</v>
      </c>
      <c r="F6" s="98" t="s">
        <v>6</v>
      </c>
      <c r="G6" s="92" t="s">
        <v>7</v>
      </c>
    </row>
    <row r="7" spans="1:7" ht="102.75" customHeight="1">
      <c r="A7" s="144" t="s">
        <v>318</v>
      </c>
      <c r="B7" s="145" t="s">
        <v>483</v>
      </c>
      <c r="C7" s="144" t="s">
        <v>8</v>
      </c>
      <c r="D7" s="146">
        <v>14</v>
      </c>
      <c r="E7" s="147">
        <f>35970-(35970*0.55/100)</f>
        <v>35772.165000000001</v>
      </c>
      <c r="F7" s="147">
        <f>E7*1.1</f>
        <v>39349.381500000003</v>
      </c>
      <c r="G7" s="148">
        <f>F7*D7</f>
        <v>550891.34100000001</v>
      </c>
    </row>
    <row r="8" spans="1:7" ht="50.25" hidden="1" customHeight="1">
      <c r="A8" s="144" t="s">
        <v>319</v>
      </c>
      <c r="B8" s="145" t="s">
        <v>320</v>
      </c>
      <c r="C8" s="144" t="s">
        <v>321</v>
      </c>
      <c r="D8" s="146">
        <v>0</v>
      </c>
      <c r="E8" s="147">
        <f>7340*1.2</f>
        <v>8808</v>
      </c>
      <c r="F8" s="147">
        <f t="shared" ref="F8:F18" si="0">E8*1.1</f>
        <v>9688.8000000000011</v>
      </c>
      <c r="G8" s="148">
        <f t="shared" ref="G8:G18" si="1">F8*D8</f>
        <v>0</v>
      </c>
    </row>
    <row r="9" spans="1:7" ht="43.5" hidden="1" customHeight="1">
      <c r="A9" s="144" t="s">
        <v>322</v>
      </c>
      <c r="B9" s="145" t="s">
        <v>323</v>
      </c>
      <c r="C9" s="144" t="s">
        <v>8</v>
      </c>
      <c r="D9" s="146">
        <v>0</v>
      </c>
      <c r="E9" s="147">
        <f>7798.75*1.2</f>
        <v>9358.5</v>
      </c>
      <c r="F9" s="147">
        <f t="shared" si="0"/>
        <v>10294.35</v>
      </c>
      <c r="G9" s="148">
        <f t="shared" si="1"/>
        <v>0</v>
      </c>
    </row>
    <row r="10" spans="1:7" ht="55.5" hidden="1" customHeight="1">
      <c r="A10" s="144" t="s">
        <v>324</v>
      </c>
      <c r="B10" s="145" t="s">
        <v>325</v>
      </c>
      <c r="C10" s="144" t="s">
        <v>8</v>
      </c>
      <c r="D10" s="146">
        <v>0</v>
      </c>
      <c r="E10" s="147">
        <f>11468.75*1.2</f>
        <v>13762.5</v>
      </c>
      <c r="F10" s="147">
        <f t="shared" si="0"/>
        <v>15138.750000000002</v>
      </c>
      <c r="G10" s="148">
        <f t="shared" si="1"/>
        <v>0</v>
      </c>
    </row>
    <row r="11" spans="1:7" ht="66" hidden="1">
      <c r="A11" s="144" t="s">
        <v>326</v>
      </c>
      <c r="B11" s="145" t="s">
        <v>486</v>
      </c>
      <c r="C11" s="144" t="s">
        <v>8</v>
      </c>
      <c r="D11" s="146">
        <v>0</v>
      </c>
      <c r="E11" s="147">
        <f>22937.25*1.2</f>
        <v>27524.7</v>
      </c>
      <c r="F11" s="147">
        <f t="shared" si="0"/>
        <v>30277.170000000002</v>
      </c>
      <c r="G11" s="148">
        <f t="shared" si="1"/>
        <v>0</v>
      </c>
    </row>
    <row r="12" spans="1:7" ht="45" hidden="1" customHeight="1">
      <c r="A12" s="144" t="s">
        <v>487</v>
      </c>
      <c r="B12" s="145" t="s">
        <v>488</v>
      </c>
      <c r="C12" s="144" t="s">
        <v>8</v>
      </c>
      <c r="D12" s="146">
        <v>0</v>
      </c>
      <c r="E12" s="147">
        <f>16350*1.1</f>
        <v>17985</v>
      </c>
      <c r="F12" s="147">
        <f t="shared" si="0"/>
        <v>19783.5</v>
      </c>
      <c r="G12" s="148">
        <f t="shared" si="1"/>
        <v>0</v>
      </c>
    </row>
    <row r="13" spans="1:7" ht="45" hidden="1" customHeight="1">
      <c r="A13" s="144" t="s">
        <v>489</v>
      </c>
      <c r="B13" s="145" t="s">
        <v>490</v>
      </c>
      <c r="C13" s="144" t="s">
        <v>8</v>
      </c>
      <c r="D13" s="146">
        <v>0</v>
      </c>
      <c r="E13" s="147">
        <f>1835*1.2</f>
        <v>2202</v>
      </c>
      <c r="F13" s="147">
        <f t="shared" si="0"/>
        <v>2422.2000000000003</v>
      </c>
      <c r="G13" s="148">
        <f t="shared" si="1"/>
        <v>0</v>
      </c>
    </row>
    <row r="14" spans="1:7" ht="69.75" hidden="1" customHeight="1">
      <c r="A14" s="144" t="s">
        <v>491</v>
      </c>
      <c r="B14" s="145" t="s">
        <v>492</v>
      </c>
      <c r="C14" s="144" t="s">
        <v>8</v>
      </c>
      <c r="D14" s="146">
        <v>0</v>
      </c>
      <c r="E14" s="147">
        <f>110787.5*1.1</f>
        <v>121866.25000000001</v>
      </c>
      <c r="F14" s="147">
        <f t="shared" si="0"/>
        <v>134052.87500000003</v>
      </c>
      <c r="G14" s="148">
        <f t="shared" si="1"/>
        <v>0</v>
      </c>
    </row>
    <row r="15" spans="1:7" ht="74.25" hidden="1" customHeight="1">
      <c r="A15" s="144" t="s">
        <v>327</v>
      </c>
      <c r="B15" s="145" t="s">
        <v>484</v>
      </c>
      <c r="C15" s="144" t="s">
        <v>8</v>
      </c>
      <c r="D15" s="146">
        <v>0</v>
      </c>
      <c r="E15" s="147">
        <f>2752.5*1.2</f>
        <v>3303</v>
      </c>
      <c r="F15" s="147">
        <f t="shared" si="0"/>
        <v>3633.3</v>
      </c>
      <c r="G15" s="148">
        <f t="shared" si="1"/>
        <v>0</v>
      </c>
    </row>
    <row r="16" spans="1:7" ht="48" hidden="1" customHeight="1">
      <c r="A16" s="144" t="s">
        <v>328</v>
      </c>
      <c r="B16" s="145" t="s">
        <v>329</v>
      </c>
      <c r="C16" s="144" t="s">
        <v>8</v>
      </c>
      <c r="D16" s="146">
        <v>0</v>
      </c>
      <c r="E16" s="147">
        <f>2000*1.2</f>
        <v>2400</v>
      </c>
      <c r="F16" s="147">
        <f t="shared" si="0"/>
        <v>2640</v>
      </c>
      <c r="G16" s="148">
        <f t="shared" si="1"/>
        <v>0</v>
      </c>
    </row>
    <row r="17" spans="1:7" ht="44.25" hidden="1" customHeight="1">
      <c r="A17" s="144" t="s">
        <v>330</v>
      </c>
      <c r="B17" s="145" t="s">
        <v>331</v>
      </c>
      <c r="C17" s="144" t="s">
        <v>8</v>
      </c>
      <c r="D17" s="146">
        <v>0</v>
      </c>
      <c r="E17" s="147">
        <f>35000*1.2</f>
        <v>42000</v>
      </c>
      <c r="F17" s="147">
        <f t="shared" si="0"/>
        <v>46200.000000000007</v>
      </c>
      <c r="G17" s="148">
        <f t="shared" si="1"/>
        <v>0</v>
      </c>
    </row>
    <row r="18" spans="1:7" ht="42.75" hidden="1" customHeight="1">
      <c r="A18" s="144" t="s">
        <v>332</v>
      </c>
      <c r="B18" s="145" t="s">
        <v>333</v>
      </c>
      <c r="C18" s="144" t="s">
        <v>8</v>
      </c>
      <c r="D18" s="146">
        <v>0</v>
      </c>
      <c r="E18" s="147">
        <f>2752.5*1.2</f>
        <v>3303</v>
      </c>
      <c r="F18" s="147">
        <f t="shared" si="0"/>
        <v>3633.3</v>
      </c>
      <c r="G18" s="148">
        <f t="shared" si="1"/>
        <v>0</v>
      </c>
    </row>
    <row r="19" spans="1:7" ht="76.5" customHeight="1">
      <c r="A19" s="144" t="s">
        <v>334</v>
      </c>
      <c r="B19" s="145" t="s">
        <v>335</v>
      </c>
      <c r="C19" s="149"/>
      <c r="D19" s="150"/>
      <c r="E19" s="151"/>
      <c r="F19" s="151"/>
      <c r="G19" s="148"/>
    </row>
    <row r="20" spans="1:7" ht="24.75" customHeight="1">
      <c r="A20" s="144" t="s">
        <v>493</v>
      </c>
      <c r="B20" s="145" t="s">
        <v>494</v>
      </c>
      <c r="C20" s="144" t="s">
        <v>8</v>
      </c>
      <c r="D20" s="146">
        <v>4</v>
      </c>
      <c r="E20" s="147">
        <f>18992-(18992*0.55/100)</f>
        <v>18887.544000000002</v>
      </c>
      <c r="F20" s="147">
        <f t="shared" ref="F20:F26" si="2">E20*1.1</f>
        <v>20776.298400000003</v>
      </c>
      <c r="G20" s="148">
        <f t="shared" ref="G20:G26" si="3">F20*D20</f>
        <v>83105.193600000013</v>
      </c>
    </row>
    <row r="21" spans="1:7" ht="24.75" customHeight="1">
      <c r="A21" s="144" t="s">
        <v>495</v>
      </c>
      <c r="B21" s="145" t="s">
        <v>496</v>
      </c>
      <c r="C21" s="144" t="s">
        <v>8</v>
      </c>
      <c r="D21" s="146">
        <v>2</v>
      </c>
      <c r="E21" s="147">
        <f>22157-(22157*0.55/100)</f>
        <v>22035.136500000001</v>
      </c>
      <c r="F21" s="147">
        <f t="shared" si="2"/>
        <v>24238.650150000001</v>
      </c>
      <c r="G21" s="148">
        <f t="shared" si="3"/>
        <v>48477.300300000003</v>
      </c>
    </row>
    <row r="22" spans="1:7" ht="24.75" customHeight="1">
      <c r="A22" s="144" t="s">
        <v>497</v>
      </c>
      <c r="B22" s="145" t="s">
        <v>498</v>
      </c>
      <c r="C22" s="144" t="s">
        <v>338</v>
      </c>
      <c r="D22" s="146">
        <v>60</v>
      </c>
      <c r="E22" s="147">
        <f>419-(419*0.55/100)</f>
        <v>416.69549999999998</v>
      </c>
      <c r="F22" s="147">
        <f t="shared" si="2"/>
        <v>458.36505</v>
      </c>
      <c r="G22" s="148">
        <f t="shared" si="3"/>
        <v>27501.902999999998</v>
      </c>
    </row>
    <row r="23" spans="1:7" ht="24.75" customHeight="1">
      <c r="A23" s="144" t="s">
        <v>499</v>
      </c>
      <c r="B23" s="145" t="s">
        <v>500</v>
      </c>
      <c r="C23" s="144" t="s">
        <v>338</v>
      </c>
      <c r="D23" s="146">
        <v>100</v>
      </c>
      <c r="E23" s="147">
        <f>299-(299*0.55/100)</f>
        <v>297.35550000000001</v>
      </c>
      <c r="F23" s="147">
        <f t="shared" si="2"/>
        <v>327.09105000000005</v>
      </c>
      <c r="G23" s="148">
        <f t="shared" si="3"/>
        <v>32709.105000000007</v>
      </c>
    </row>
    <row r="24" spans="1:7" ht="24.75" customHeight="1">
      <c r="A24" s="144" t="s">
        <v>501</v>
      </c>
      <c r="B24" s="145" t="s">
        <v>502</v>
      </c>
      <c r="C24" s="144" t="s">
        <v>338</v>
      </c>
      <c r="D24" s="146">
        <v>25</v>
      </c>
      <c r="E24" s="147">
        <f>501-(501*0.55/100)</f>
        <v>498.24450000000002</v>
      </c>
      <c r="F24" s="147">
        <f t="shared" si="2"/>
        <v>548.06895000000009</v>
      </c>
      <c r="G24" s="148">
        <f t="shared" si="3"/>
        <v>13701.723750000003</v>
      </c>
    </row>
    <row r="25" spans="1:7" ht="24.75" customHeight="1">
      <c r="A25" s="144" t="s">
        <v>503</v>
      </c>
      <c r="B25" s="145" t="s">
        <v>504</v>
      </c>
      <c r="C25" s="144" t="s">
        <v>338</v>
      </c>
      <c r="D25" s="146">
        <v>125</v>
      </c>
      <c r="E25" s="147">
        <f>179-(179*0.55/100)</f>
        <v>178.0155</v>
      </c>
      <c r="F25" s="147">
        <f t="shared" si="2"/>
        <v>195.81705000000002</v>
      </c>
      <c r="G25" s="148">
        <f t="shared" si="3"/>
        <v>24477.131250000002</v>
      </c>
    </row>
    <row r="26" spans="1:7" ht="24.75" customHeight="1">
      <c r="A26" s="144" t="s">
        <v>505</v>
      </c>
      <c r="B26" s="145" t="s">
        <v>506</v>
      </c>
      <c r="C26" s="144" t="s">
        <v>336</v>
      </c>
      <c r="D26" s="146">
        <v>1</v>
      </c>
      <c r="E26" s="147">
        <f>23740-(23740*0.55/100)</f>
        <v>23609.43</v>
      </c>
      <c r="F26" s="147">
        <f t="shared" si="2"/>
        <v>25970.373000000003</v>
      </c>
      <c r="G26" s="148">
        <f t="shared" si="3"/>
        <v>25970.373000000003</v>
      </c>
    </row>
    <row r="27" spans="1:7" ht="68.25" customHeight="1">
      <c r="A27" s="144" t="s">
        <v>507</v>
      </c>
      <c r="B27" s="145" t="s">
        <v>337</v>
      </c>
      <c r="C27" s="144"/>
      <c r="D27" s="146"/>
      <c r="E27" s="152"/>
      <c r="F27" s="152"/>
      <c r="G27" s="148"/>
    </row>
    <row r="28" spans="1:7" ht="24" customHeight="1">
      <c r="A28" s="144" t="s">
        <v>508</v>
      </c>
      <c r="B28" s="145" t="s">
        <v>339</v>
      </c>
      <c r="C28" s="144" t="s">
        <v>338</v>
      </c>
      <c r="D28" s="146">
        <v>250</v>
      </c>
      <c r="E28" s="147">
        <f>659-(659*0.55/100)</f>
        <v>655.37549999999999</v>
      </c>
      <c r="F28" s="147">
        <f t="shared" ref="F28:F29" si="4">E28*1.1</f>
        <v>720.91305</v>
      </c>
      <c r="G28" s="148">
        <f t="shared" ref="G28:G29" si="5">F28*D28</f>
        <v>180228.26250000001</v>
      </c>
    </row>
    <row r="29" spans="1:7" ht="24" customHeight="1">
      <c r="A29" s="144" t="s">
        <v>509</v>
      </c>
      <c r="B29" s="145" t="s">
        <v>340</v>
      </c>
      <c r="C29" s="144" t="s">
        <v>338</v>
      </c>
      <c r="D29" s="146">
        <v>150</v>
      </c>
      <c r="E29" s="147">
        <f>479-(479*0.55/100)</f>
        <v>476.3655</v>
      </c>
      <c r="F29" s="147">
        <f t="shared" si="4"/>
        <v>524.00205000000005</v>
      </c>
      <c r="G29" s="148">
        <f t="shared" si="5"/>
        <v>78600.30750000001</v>
      </c>
    </row>
    <row r="30" spans="1:7" ht="22.5" customHeight="1">
      <c r="A30" s="331" t="s">
        <v>341</v>
      </c>
      <c r="B30" s="331"/>
      <c r="C30" s="332"/>
      <c r="D30" s="332"/>
      <c r="E30" s="153"/>
      <c r="F30" s="236"/>
      <c r="G30" s="154">
        <f>SUM(G7:G29)</f>
        <v>1065662.6409000002</v>
      </c>
    </row>
  </sheetData>
  <sheetProtection password="CEE5" sheet="1" objects="1" scenarios="1" formatCells="0" formatColumns="0" formatRows="0"/>
  <autoFilter ref="D1:D30">
    <filterColumn colId="0">
      <filters blank="1">
        <filter val="(2)"/>
        <filter val="1"/>
        <filter val="100"/>
        <filter val="125"/>
        <filter val="14"/>
        <filter val="150"/>
        <filter val="2"/>
        <filter val="25"/>
        <filter val="250"/>
        <filter val="4"/>
        <filter val="60"/>
        <filter val="Qty."/>
      </filters>
    </filterColumn>
  </autoFilter>
  <mergeCells count="6">
    <mergeCell ref="A30:B30"/>
    <mergeCell ref="C30:D30"/>
    <mergeCell ref="B1:G1"/>
    <mergeCell ref="A2:G2"/>
    <mergeCell ref="A3:G3"/>
    <mergeCell ref="A4:G4"/>
  </mergeCells>
  <printOptions horizontalCentered="1" verticalCentered="1"/>
  <pageMargins left="0" right="0" top="0" bottom="0" header="0" footer="0"/>
  <pageSetup paperSize="9" scale="61" orientation="landscape" r:id="rId1"/>
  <drawing r:id="rId2"/>
</worksheet>
</file>

<file path=xl/worksheets/sheet8.xml><?xml version="1.0" encoding="utf-8"?>
<worksheet xmlns="http://schemas.openxmlformats.org/spreadsheetml/2006/main" xmlns:r="http://schemas.openxmlformats.org/officeDocument/2006/relationships">
  <sheetPr codeName="Sheet4" filterMode="1">
    <tabColor rgb="FF92D050"/>
  </sheetPr>
  <dimension ref="A1:G33"/>
  <sheetViews>
    <sheetView view="pageBreakPreview" topLeftCell="B22" zoomScale="70" zoomScaleNormal="70" zoomScaleSheetLayoutView="70" workbookViewId="0">
      <selection activeCell="G13" sqref="G13"/>
    </sheetView>
  </sheetViews>
  <sheetFormatPr defaultColWidth="9.109375" defaultRowHeight="13.2"/>
  <cols>
    <col min="1" max="1" width="20.5546875" style="61" customWidth="1"/>
    <col min="2" max="2" width="89.44140625" style="62" customWidth="1"/>
    <col min="3" max="3" width="9.6640625" style="61" customWidth="1"/>
    <col min="4" max="4" width="11.33203125" style="68" customWidth="1"/>
    <col min="5" max="5" width="41.5546875" style="88" hidden="1" customWidth="1"/>
    <col min="6" max="6" width="41.5546875" style="88" customWidth="1"/>
    <col min="7" max="7" width="45.5546875" style="90" customWidth="1"/>
    <col min="8" max="14" width="9.109375" style="56"/>
    <col min="15" max="15" width="20.5546875" style="56" customWidth="1"/>
    <col min="16" max="16" width="112.88671875" style="56" customWidth="1"/>
    <col min="17" max="17" width="9.88671875" style="56" customWidth="1"/>
    <col min="18" max="18" width="14.44140625" style="56" customWidth="1"/>
    <col min="19" max="19" width="41.5546875" style="56" customWidth="1"/>
    <col min="20" max="20" width="45.5546875" style="56" customWidth="1"/>
    <col min="21" max="270" width="9.109375" style="56"/>
    <col min="271" max="271" width="20.5546875" style="56" customWidth="1"/>
    <col min="272" max="272" width="112.88671875" style="56" customWidth="1"/>
    <col min="273" max="273" width="9.88671875" style="56" customWidth="1"/>
    <col min="274" max="274" width="14.44140625" style="56" customWidth="1"/>
    <col min="275" max="275" width="41.5546875" style="56" customWidth="1"/>
    <col min="276" max="276" width="45.5546875" style="56" customWidth="1"/>
    <col min="277" max="526" width="9.109375" style="56"/>
    <col min="527" max="527" width="20.5546875" style="56" customWidth="1"/>
    <col min="528" max="528" width="112.88671875" style="56" customWidth="1"/>
    <col min="529" max="529" width="9.88671875" style="56" customWidth="1"/>
    <col min="530" max="530" width="14.44140625" style="56" customWidth="1"/>
    <col min="531" max="531" width="41.5546875" style="56" customWidth="1"/>
    <col min="532" max="532" width="45.5546875" style="56" customWidth="1"/>
    <col min="533" max="782" width="9.109375" style="56"/>
    <col min="783" max="783" width="20.5546875" style="56" customWidth="1"/>
    <col min="784" max="784" width="112.88671875" style="56" customWidth="1"/>
    <col min="785" max="785" width="9.88671875" style="56" customWidth="1"/>
    <col min="786" max="786" width="14.44140625" style="56" customWidth="1"/>
    <col min="787" max="787" width="41.5546875" style="56" customWidth="1"/>
    <col min="788" max="788" width="45.5546875" style="56" customWidth="1"/>
    <col min="789" max="1038" width="9.109375" style="56"/>
    <col min="1039" max="1039" width="20.5546875" style="56" customWidth="1"/>
    <col min="1040" max="1040" width="112.88671875" style="56" customWidth="1"/>
    <col min="1041" max="1041" width="9.88671875" style="56" customWidth="1"/>
    <col min="1042" max="1042" width="14.44140625" style="56" customWidth="1"/>
    <col min="1043" max="1043" width="41.5546875" style="56" customWidth="1"/>
    <col min="1044" max="1044" width="45.5546875" style="56" customWidth="1"/>
    <col min="1045" max="1294" width="9.109375" style="56"/>
    <col min="1295" max="1295" width="20.5546875" style="56" customWidth="1"/>
    <col min="1296" max="1296" width="112.88671875" style="56" customWidth="1"/>
    <col min="1297" max="1297" width="9.88671875" style="56" customWidth="1"/>
    <col min="1298" max="1298" width="14.44140625" style="56" customWidth="1"/>
    <col min="1299" max="1299" width="41.5546875" style="56" customWidth="1"/>
    <col min="1300" max="1300" width="45.5546875" style="56" customWidth="1"/>
    <col min="1301" max="1550" width="9.109375" style="56"/>
    <col min="1551" max="1551" width="20.5546875" style="56" customWidth="1"/>
    <col min="1552" max="1552" width="112.88671875" style="56" customWidth="1"/>
    <col min="1553" max="1553" width="9.88671875" style="56" customWidth="1"/>
    <col min="1554" max="1554" width="14.44140625" style="56" customWidth="1"/>
    <col min="1555" max="1555" width="41.5546875" style="56" customWidth="1"/>
    <col min="1556" max="1556" width="45.5546875" style="56" customWidth="1"/>
    <col min="1557" max="1806" width="9.109375" style="56"/>
    <col min="1807" max="1807" width="20.5546875" style="56" customWidth="1"/>
    <col min="1808" max="1808" width="112.88671875" style="56" customWidth="1"/>
    <col min="1809" max="1809" width="9.88671875" style="56" customWidth="1"/>
    <col min="1810" max="1810" width="14.44140625" style="56" customWidth="1"/>
    <col min="1811" max="1811" width="41.5546875" style="56" customWidth="1"/>
    <col min="1812" max="1812" width="45.5546875" style="56" customWidth="1"/>
    <col min="1813" max="2062" width="9.109375" style="56"/>
    <col min="2063" max="2063" width="20.5546875" style="56" customWidth="1"/>
    <col min="2064" max="2064" width="112.88671875" style="56" customWidth="1"/>
    <col min="2065" max="2065" width="9.88671875" style="56" customWidth="1"/>
    <col min="2066" max="2066" width="14.44140625" style="56" customWidth="1"/>
    <col min="2067" max="2067" width="41.5546875" style="56" customWidth="1"/>
    <col min="2068" max="2068" width="45.5546875" style="56" customWidth="1"/>
    <col min="2069" max="2318" width="9.109375" style="56"/>
    <col min="2319" max="2319" width="20.5546875" style="56" customWidth="1"/>
    <col min="2320" max="2320" width="112.88671875" style="56" customWidth="1"/>
    <col min="2321" max="2321" width="9.88671875" style="56" customWidth="1"/>
    <col min="2322" max="2322" width="14.44140625" style="56" customWidth="1"/>
    <col min="2323" max="2323" width="41.5546875" style="56" customWidth="1"/>
    <col min="2324" max="2324" width="45.5546875" style="56" customWidth="1"/>
    <col min="2325" max="2574" width="9.109375" style="56"/>
    <col min="2575" max="2575" width="20.5546875" style="56" customWidth="1"/>
    <col min="2576" max="2576" width="112.88671875" style="56" customWidth="1"/>
    <col min="2577" max="2577" width="9.88671875" style="56" customWidth="1"/>
    <col min="2578" max="2578" width="14.44140625" style="56" customWidth="1"/>
    <col min="2579" max="2579" width="41.5546875" style="56" customWidth="1"/>
    <col min="2580" max="2580" width="45.5546875" style="56" customWidth="1"/>
    <col min="2581" max="2830" width="9.109375" style="56"/>
    <col min="2831" max="2831" width="20.5546875" style="56" customWidth="1"/>
    <col min="2832" max="2832" width="112.88671875" style="56" customWidth="1"/>
    <col min="2833" max="2833" width="9.88671875" style="56" customWidth="1"/>
    <col min="2834" max="2834" width="14.44140625" style="56" customWidth="1"/>
    <col min="2835" max="2835" width="41.5546875" style="56" customWidth="1"/>
    <col min="2836" max="2836" width="45.5546875" style="56" customWidth="1"/>
    <col min="2837" max="3086" width="9.109375" style="56"/>
    <col min="3087" max="3087" width="20.5546875" style="56" customWidth="1"/>
    <col min="3088" max="3088" width="112.88671875" style="56" customWidth="1"/>
    <col min="3089" max="3089" width="9.88671875" style="56" customWidth="1"/>
    <col min="3090" max="3090" width="14.44140625" style="56" customWidth="1"/>
    <col min="3091" max="3091" width="41.5546875" style="56" customWidth="1"/>
    <col min="3092" max="3092" width="45.5546875" style="56" customWidth="1"/>
    <col min="3093" max="3342" width="9.109375" style="56"/>
    <col min="3343" max="3343" width="20.5546875" style="56" customWidth="1"/>
    <col min="3344" max="3344" width="112.88671875" style="56" customWidth="1"/>
    <col min="3345" max="3345" width="9.88671875" style="56" customWidth="1"/>
    <col min="3346" max="3346" width="14.44140625" style="56" customWidth="1"/>
    <col min="3347" max="3347" width="41.5546875" style="56" customWidth="1"/>
    <col min="3348" max="3348" width="45.5546875" style="56" customWidth="1"/>
    <col min="3349" max="3598" width="9.109375" style="56"/>
    <col min="3599" max="3599" width="20.5546875" style="56" customWidth="1"/>
    <col min="3600" max="3600" width="112.88671875" style="56" customWidth="1"/>
    <col min="3601" max="3601" width="9.88671875" style="56" customWidth="1"/>
    <col min="3602" max="3602" width="14.44140625" style="56" customWidth="1"/>
    <col min="3603" max="3603" width="41.5546875" style="56" customWidth="1"/>
    <col min="3604" max="3604" width="45.5546875" style="56" customWidth="1"/>
    <col min="3605" max="3854" width="9.109375" style="56"/>
    <col min="3855" max="3855" width="20.5546875" style="56" customWidth="1"/>
    <col min="3856" max="3856" width="112.88671875" style="56" customWidth="1"/>
    <col min="3857" max="3857" width="9.88671875" style="56" customWidth="1"/>
    <col min="3858" max="3858" width="14.44140625" style="56" customWidth="1"/>
    <col min="3859" max="3859" width="41.5546875" style="56" customWidth="1"/>
    <col min="3860" max="3860" width="45.5546875" style="56" customWidth="1"/>
    <col min="3861" max="4110" width="9.109375" style="56"/>
    <col min="4111" max="4111" width="20.5546875" style="56" customWidth="1"/>
    <col min="4112" max="4112" width="112.88671875" style="56" customWidth="1"/>
    <col min="4113" max="4113" width="9.88671875" style="56" customWidth="1"/>
    <col min="4114" max="4114" width="14.44140625" style="56" customWidth="1"/>
    <col min="4115" max="4115" width="41.5546875" style="56" customWidth="1"/>
    <col min="4116" max="4116" width="45.5546875" style="56" customWidth="1"/>
    <col min="4117" max="4366" width="9.109375" style="56"/>
    <col min="4367" max="4367" width="20.5546875" style="56" customWidth="1"/>
    <col min="4368" max="4368" width="112.88671875" style="56" customWidth="1"/>
    <col min="4369" max="4369" width="9.88671875" style="56" customWidth="1"/>
    <col min="4370" max="4370" width="14.44140625" style="56" customWidth="1"/>
    <col min="4371" max="4371" width="41.5546875" style="56" customWidth="1"/>
    <col min="4372" max="4372" width="45.5546875" style="56" customWidth="1"/>
    <col min="4373" max="4622" width="9.109375" style="56"/>
    <col min="4623" max="4623" width="20.5546875" style="56" customWidth="1"/>
    <col min="4624" max="4624" width="112.88671875" style="56" customWidth="1"/>
    <col min="4625" max="4625" width="9.88671875" style="56" customWidth="1"/>
    <col min="4626" max="4626" width="14.44140625" style="56" customWidth="1"/>
    <col min="4627" max="4627" width="41.5546875" style="56" customWidth="1"/>
    <col min="4628" max="4628" width="45.5546875" style="56" customWidth="1"/>
    <col min="4629" max="4878" width="9.109375" style="56"/>
    <col min="4879" max="4879" width="20.5546875" style="56" customWidth="1"/>
    <col min="4880" max="4880" width="112.88671875" style="56" customWidth="1"/>
    <col min="4881" max="4881" width="9.88671875" style="56" customWidth="1"/>
    <col min="4882" max="4882" width="14.44140625" style="56" customWidth="1"/>
    <col min="4883" max="4883" width="41.5546875" style="56" customWidth="1"/>
    <col min="4884" max="4884" width="45.5546875" style="56" customWidth="1"/>
    <col min="4885" max="5134" width="9.109375" style="56"/>
    <col min="5135" max="5135" width="20.5546875" style="56" customWidth="1"/>
    <col min="5136" max="5136" width="112.88671875" style="56" customWidth="1"/>
    <col min="5137" max="5137" width="9.88671875" style="56" customWidth="1"/>
    <col min="5138" max="5138" width="14.44140625" style="56" customWidth="1"/>
    <col min="5139" max="5139" width="41.5546875" style="56" customWidth="1"/>
    <col min="5140" max="5140" width="45.5546875" style="56" customWidth="1"/>
    <col min="5141" max="5390" width="9.109375" style="56"/>
    <col min="5391" max="5391" width="20.5546875" style="56" customWidth="1"/>
    <col min="5392" max="5392" width="112.88671875" style="56" customWidth="1"/>
    <col min="5393" max="5393" width="9.88671875" style="56" customWidth="1"/>
    <col min="5394" max="5394" width="14.44140625" style="56" customWidth="1"/>
    <col min="5395" max="5395" width="41.5546875" style="56" customWidth="1"/>
    <col min="5396" max="5396" width="45.5546875" style="56" customWidth="1"/>
    <col min="5397" max="5646" width="9.109375" style="56"/>
    <col min="5647" max="5647" width="20.5546875" style="56" customWidth="1"/>
    <col min="5648" max="5648" width="112.88671875" style="56" customWidth="1"/>
    <col min="5649" max="5649" width="9.88671875" style="56" customWidth="1"/>
    <col min="5650" max="5650" width="14.44140625" style="56" customWidth="1"/>
    <col min="5651" max="5651" width="41.5546875" style="56" customWidth="1"/>
    <col min="5652" max="5652" width="45.5546875" style="56" customWidth="1"/>
    <col min="5653" max="5902" width="9.109375" style="56"/>
    <col min="5903" max="5903" width="20.5546875" style="56" customWidth="1"/>
    <col min="5904" max="5904" width="112.88671875" style="56" customWidth="1"/>
    <col min="5905" max="5905" width="9.88671875" style="56" customWidth="1"/>
    <col min="5906" max="5906" width="14.44140625" style="56" customWidth="1"/>
    <col min="5907" max="5907" width="41.5546875" style="56" customWidth="1"/>
    <col min="5908" max="5908" width="45.5546875" style="56" customWidth="1"/>
    <col min="5909" max="6158" width="9.109375" style="56"/>
    <col min="6159" max="6159" width="20.5546875" style="56" customWidth="1"/>
    <col min="6160" max="6160" width="112.88671875" style="56" customWidth="1"/>
    <col min="6161" max="6161" width="9.88671875" style="56" customWidth="1"/>
    <col min="6162" max="6162" width="14.44140625" style="56" customWidth="1"/>
    <col min="6163" max="6163" width="41.5546875" style="56" customWidth="1"/>
    <col min="6164" max="6164" width="45.5546875" style="56" customWidth="1"/>
    <col min="6165" max="6414" width="9.109375" style="56"/>
    <col min="6415" max="6415" width="20.5546875" style="56" customWidth="1"/>
    <col min="6416" max="6416" width="112.88671875" style="56" customWidth="1"/>
    <col min="6417" max="6417" width="9.88671875" style="56" customWidth="1"/>
    <col min="6418" max="6418" width="14.44140625" style="56" customWidth="1"/>
    <col min="6419" max="6419" width="41.5546875" style="56" customWidth="1"/>
    <col min="6420" max="6420" width="45.5546875" style="56" customWidth="1"/>
    <col min="6421" max="6670" width="9.109375" style="56"/>
    <col min="6671" max="6671" width="20.5546875" style="56" customWidth="1"/>
    <col min="6672" max="6672" width="112.88671875" style="56" customWidth="1"/>
    <col min="6673" max="6673" width="9.88671875" style="56" customWidth="1"/>
    <col min="6674" max="6674" width="14.44140625" style="56" customWidth="1"/>
    <col min="6675" max="6675" width="41.5546875" style="56" customWidth="1"/>
    <col min="6676" max="6676" width="45.5546875" style="56" customWidth="1"/>
    <col min="6677" max="6926" width="9.109375" style="56"/>
    <col min="6927" max="6927" width="20.5546875" style="56" customWidth="1"/>
    <col min="6928" max="6928" width="112.88671875" style="56" customWidth="1"/>
    <col min="6929" max="6929" width="9.88671875" style="56" customWidth="1"/>
    <col min="6930" max="6930" width="14.44140625" style="56" customWidth="1"/>
    <col min="6931" max="6931" width="41.5546875" style="56" customWidth="1"/>
    <col min="6932" max="6932" width="45.5546875" style="56" customWidth="1"/>
    <col min="6933" max="7182" width="9.109375" style="56"/>
    <col min="7183" max="7183" width="20.5546875" style="56" customWidth="1"/>
    <col min="7184" max="7184" width="112.88671875" style="56" customWidth="1"/>
    <col min="7185" max="7185" width="9.88671875" style="56" customWidth="1"/>
    <col min="7186" max="7186" width="14.44140625" style="56" customWidth="1"/>
    <col min="7187" max="7187" width="41.5546875" style="56" customWidth="1"/>
    <col min="7188" max="7188" width="45.5546875" style="56" customWidth="1"/>
    <col min="7189" max="7438" width="9.109375" style="56"/>
    <col min="7439" max="7439" width="20.5546875" style="56" customWidth="1"/>
    <col min="7440" max="7440" width="112.88671875" style="56" customWidth="1"/>
    <col min="7441" max="7441" width="9.88671875" style="56" customWidth="1"/>
    <col min="7442" max="7442" width="14.44140625" style="56" customWidth="1"/>
    <col min="7443" max="7443" width="41.5546875" style="56" customWidth="1"/>
    <col min="7444" max="7444" width="45.5546875" style="56" customWidth="1"/>
    <col min="7445" max="7694" width="9.109375" style="56"/>
    <col min="7695" max="7695" width="20.5546875" style="56" customWidth="1"/>
    <col min="7696" max="7696" width="112.88671875" style="56" customWidth="1"/>
    <col min="7697" max="7697" width="9.88671875" style="56" customWidth="1"/>
    <col min="7698" max="7698" width="14.44140625" style="56" customWidth="1"/>
    <col min="7699" max="7699" width="41.5546875" style="56" customWidth="1"/>
    <col min="7700" max="7700" width="45.5546875" style="56" customWidth="1"/>
    <col min="7701" max="7950" width="9.109375" style="56"/>
    <col min="7951" max="7951" width="20.5546875" style="56" customWidth="1"/>
    <col min="7952" max="7952" width="112.88671875" style="56" customWidth="1"/>
    <col min="7953" max="7953" width="9.88671875" style="56" customWidth="1"/>
    <col min="7954" max="7954" width="14.44140625" style="56" customWidth="1"/>
    <col min="7955" max="7955" width="41.5546875" style="56" customWidth="1"/>
    <col min="7956" max="7956" width="45.5546875" style="56" customWidth="1"/>
    <col min="7957" max="8206" width="9.109375" style="56"/>
    <col min="8207" max="8207" width="20.5546875" style="56" customWidth="1"/>
    <col min="8208" max="8208" width="112.88671875" style="56" customWidth="1"/>
    <col min="8209" max="8209" width="9.88671875" style="56" customWidth="1"/>
    <col min="8210" max="8210" width="14.44140625" style="56" customWidth="1"/>
    <col min="8211" max="8211" width="41.5546875" style="56" customWidth="1"/>
    <col min="8212" max="8212" width="45.5546875" style="56" customWidth="1"/>
    <col min="8213" max="8462" width="9.109375" style="56"/>
    <col min="8463" max="8463" width="20.5546875" style="56" customWidth="1"/>
    <col min="8464" max="8464" width="112.88671875" style="56" customWidth="1"/>
    <col min="8465" max="8465" width="9.88671875" style="56" customWidth="1"/>
    <col min="8466" max="8466" width="14.44140625" style="56" customWidth="1"/>
    <col min="8467" max="8467" width="41.5546875" style="56" customWidth="1"/>
    <col min="8468" max="8468" width="45.5546875" style="56" customWidth="1"/>
    <col min="8469" max="8718" width="9.109375" style="56"/>
    <col min="8719" max="8719" width="20.5546875" style="56" customWidth="1"/>
    <col min="8720" max="8720" width="112.88671875" style="56" customWidth="1"/>
    <col min="8721" max="8721" width="9.88671875" style="56" customWidth="1"/>
    <col min="8722" max="8722" width="14.44140625" style="56" customWidth="1"/>
    <col min="8723" max="8723" width="41.5546875" style="56" customWidth="1"/>
    <col min="8724" max="8724" width="45.5546875" style="56" customWidth="1"/>
    <col min="8725" max="8974" width="9.109375" style="56"/>
    <col min="8975" max="8975" width="20.5546875" style="56" customWidth="1"/>
    <col min="8976" max="8976" width="112.88671875" style="56" customWidth="1"/>
    <col min="8977" max="8977" width="9.88671875" style="56" customWidth="1"/>
    <col min="8978" max="8978" width="14.44140625" style="56" customWidth="1"/>
    <col min="8979" max="8979" width="41.5546875" style="56" customWidth="1"/>
    <col min="8980" max="8980" width="45.5546875" style="56" customWidth="1"/>
    <col min="8981" max="9230" width="9.109375" style="56"/>
    <col min="9231" max="9231" width="20.5546875" style="56" customWidth="1"/>
    <col min="9232" max="9232" width="112.88671875" style="56" customWidth="1"/>
    <col min="9233" max="9233" width="9.88671875" style="56" customWidth="1"/>
    <col min="9234" max="9234" width="14.44140625" style="56" customWidth="1"/>
    <col min="9235" max="9235" width="41.5546875" style="56" customWidth="1"/>
    <col min="9236" max="9236" width="45.5546875" style="56" customWidth="1"/>
    <col min="9237" max="9486" width="9.109375" style="56"/>
    <col min="9487" max="9487" width="20.5546875" style="56" customWidth="1"/>
    <col min="9488" max="9488" width="112.88671875" style="56" customWidth="1"/>
    <col min="9489" max="9489" width="9.88671875" style="56" customWidth="1"/>
    <col min="9490" max="9490" width="14.44140625" style="56" customWidth="1"/>
    <col min="9491" max="9491" width="41.5546875" style="56" customWidth="1"/>
    <col min="9492" max="9492" width="45.5546875" style="56" customWidth="1"/>
    <col min="9493" max="9742" width="9.109375" style="56"/>
    <col min="9743" max="9743" width="20.5546875" style="56" customWidth="1"/>
    <col min="9744" max="9744" width="112.88671875" style="56" customWidth="1"/>
    <col min="9745" max="9745" width="9.88671875" style="56" customWidth="1"/>
    <col min="9746" max="9746" width="14.44140625" style="56" customWidth="1"/>
    <col min="9747" max="9747" width="41.5546875" style="56" customWidth="1"/>
    <col min="9748" max="9748" width="45.5546875" style="56" customWidth="1"/>
    <col min="9749" max="9998" width="9.109375" style="56"/>
    <col min="9999" max="9999" width="20.5546875" style="56" customWidth="1"/>
    <col min="10000" max="10000" width="112.88671875" style="56" customWidth="1"/>
    <col min="10001" max="10001" width="9.88671875" style="56" customWidth="1"/>
    <col min="10002" max="10002" width="14.44140625" style="56" customWidth="1"/>
    <col min="10003" max="10003" width="41.5546875" style="56" customWidth="1"/>
    <col min="10004" max="10004" width="45.5546875" style="56" customWidth="1"/>
    <col min="10005" max="10254" width="9.109375" style="56"/>
    <col min="10255" max="10255" width="20.5546875" style="56" customWidth="1"/>
    <col min="10256" max="10256" width="112.88671875" style="56" customWidth="1"/>
    <col min="10257" max="10257" width="9.88671875" style="56" customWidth="1"/>
    <col min="10258" max="10258" width="14.44140625" style="56" customWidth="1"/>
    <col min="10259" max="10259" width="41.5546875" style="56" customWidth="1"/>
    <col min="10260" max="10260" width="45.5546875" style="56" customWidth="1"/>
    <col min="10261" max="10510" width="9.109375" style="56"/>
    <col min="10511" max="10511" width="20.5546875" style="56" customWidth="1"/>
    <col min="10512" max="10512" width="112.88671875" style="56" customWidth="1"/>
    <col min="10513" max="10513" width="9.88671875" style="56" customWidth="1"/>
    <col min="10514" max="10514" width="14.44140625" style="56" customWidth="1"/>
    <col min="10515" max="10515" width="41.5546875" style="56" customWidth="1"/>
    <col min="10516" max="10516" width="45.5546875" style="56" customWidth="1"/>
    <col min="10517" max="10766" width="9.109375" style="56"/>
    <col min="10767" max="10767" width="20.5546875" style="56" customWidth="1"/>
    <col min="10768" max="10768" width="112.88671875" style="56" customWidth="1"/>
    <col min="10769" max="10769" width="9.88671875" style="56" customWidth="1"/>
    <col min="10770" max="10770" width="14.44140625" style="56" customWidth="1"/>
    <col min="10771" max="10771" width="41.5546875" style="56" customWidth="1"/>
    <col min="10772" max="10772" width="45.5546875" style="56" customWidth="1"/>
    <col min="10773" max="11022" width="9.109375" style="56"/>
    <col min="11023" max="11023" width="20.5546875" style="56" customWidth="1"/>
    <col min="11024" max="11024" width="112.88671875" style="56" customWidth="1"/>
    <col min="11025" max="11025" width="9.88671875" style="56" customWidth="1"/>
    <col min="11026" max="11026" width="14.44140625" style="56" customWidth="1"/>
    <col min="11027" max="11027" width="41.5546875" style="56" customWidth="1"/>
    <col min="11028" max="11028" width="45.5546875" style="56" customWidth="1"/>
    <col min="11029" max="11278" width="9.109375" style="56"/>
    <col min="11279" max="11279" width="20.5546875" style="56" customWidth="1"/>
    <col min="11280" max="11280" width="112.88671875" style="56" customWidth="1"/>
    <col min="11281" max="11281" width="9.88671875" style="56" customWidth="1"/>
    <col min="11282" max="11282" width="14.44140625" style="56" customWidth="1"/>
    <col min="11283" max="11283" width="41.5546875" style="56" customWidth="1"/>
    <col min="11284" max="11284" width="45.5546875" style="56" customWidth="1"/>
    <col min="11285" max="11534" width="9.109375" style="56"/>
    <col min="11535" max="11535" width="20.5546875" style="56" customWidth="1"/>
    <col min="11536" max="11536" width="112.88671875" style="56" customWidth="1"/>
    <col min="11537" max="11537" width="9.88671875" style="56" customWidth="1"/>
    <col min="11538" max="11538" width="14.44140625" style="56" customWidth="1"/>
    <col min="11539" max="11539" width="41.5546875" style="56" customWidth="1"/>
    <col min="11540" max="11540" width="45.5546875" style="56" customWidth="1"/>
    <col min="11541" max="11790" width="9.109375" style="56"/>
    <col min="11791" max="11791" width="20.5546875" style="56" customWidth="1"/>
    <col min="11792" max="11792" width="112.88671875" style="56" customWidth="1"/>
    <col min="11793" max="11793" width="9.88671875" style="56" customWidth="1"/>
    <col min="11794" max="11794" width="14.44140625" style="56" customWidth="1"/>
    <col min="11795" max="11795" width="41.5546875" style="56" customWidth="1"/>
    <col min="11796" max="11796" width="45.5546875" style="56" customWidth="1"/>
    <col min="11797" max="12046" width="9.109375" style="56"/>
    <col min="12047" max="12047" width="20.5546875" style="56" customWidth="1"/>
    <col min="12048" max="12048" width="112.88671875" style="56" customWidth="1"/>
    <col min="12049" max="12049" width="9.88671875" style="56" customWidth="1"/>
    <col min="12050" max="12050" width="14.44140625" style="56" customWidth="1"/>
    <col min="12051" max="12051" width="41.5546875" style="56" customWidth="1"/>
    <col min="12052" max="12052" width="45.5546875" style="56" customWidth="1"/>
    <col min="12053" max="12302" width="9.109375" style="56"/>
    <col min="12303" max="12303" width="20.5546875" style="56" customWidth="1"/>
    <col min="12304" max="12304" width="112.88671875" style="56" customWidth="1"/>
    <col min="12305" max="12305" width="9.88671875" style="56" customWidth="1"/>
    <col min="12306" max="12306" width="14.44140625" style="56" customWidth="1"/>
    <col min="12307" max="12307" width="41.5546875" style="56" customWidth="1"/>
    <col min="12308" max="12308" width="45.5546875" style="56" customWidth="1"/>
    <col min="12309" max="12558" width="9.109375" style="56"/>
    <col min="12559" max="12559" width="20.5546875" style="56" customWidth="1"/>
    <col min="12560" max="12560" width="112.88671875" style="56" customWidth="1"/>
    <col min="12561" max="12561" width="9.88671875" style="56" customWidth="1"/>
    <col min="12562" max="12562" width="14.44140625" style="56" customWidth="1"/>
    <col min="12563" max="12563" width="41.5546875" style="56" customWidth="1"/>
    <col min="12564" max="12564" width="45.5546875" style="56" customWidth="1"/>
    <col min="12565" max="12814" width="9.109375" style="56"/>
    <col min="12815" max="12815" width="20.5546875" style="56" customWidth="1"/>
    <col min="12816" max="12816" width="112.88671875" style="56" customWidth="1"/>
    <col min="12817" max="12817" width="9.88671875" style="56" customWidth="1"/>
    <col min="12818" max="12818" width="14.44140625" style="56" customWidth="1"/>
    <col min="12819" max="12819" width="41.5546875" style="56" customWidth="1"/>
    <col min="12820" max="12820" width="45.5546875" style="56" customWidth="1"/>
    <col min="12821" max="13070" width="9.109375" style="56"/>
    <col min="13071" max="13071" width="20.5546875" style="56" customWidth="1"/>
    <col min="13072" max="13072" width="112.88671875" style="56" customWidth="1"/>
    <col min="13073" max="13073" width="9.88671875" style="56" customWidth="1"/>
    <col min="13074" max="13074" width="14.44140625" style="56" customWidth="1"/>
    <col min="13075" max="13075" width="41.5546875" style="56" customWidth="1"/>
    <col min="13076" max="13076" width="45.5546875" style="56" customWidth="1"/>
    <col min="13077" max="13326" width="9.109375" style="56"/>
    <col min="13327" max="13327" width="20.5546875" style="56" customWidth="1"/>
    <col min="13328" max="13328" width="112.88671875" style="56" customWidth="1"/>
    <col min="13329" max="13329" width="9.88671875" style="56" customWidth="1"/>
    <col min="13330" max="13330" width="14.44140625" style="56" customWidth="1"/>
    <col min="13331" max="13331" width="41.5546875" style="56" customWidth="1"/>
    <col min="13332" max="13332" width="45.5546875" style="56" customWidth="1"/>
    <col min="13333" max="13582" width="9.109375" style="56"/>
    <col min="13583" max="13583" width="20.5546875" style="56" customWidth="1"/>
    <col min="13584" max="13584" width="112.88671875" style="56" customWidth="1"/>
    <col min="13585" max="13585" width="9.88671875" style="56" customWidth="1"/>
    <col min="13586" max="13586" width="14.44140625" style="56" customWidth="1"/>
    <col min="13587" max="13587" width="41.5546875" style="56" customWidth="1"/>
    <col min="13588" max="13588" width="45.5546875" style="56" customWidth="1"/>
    <col min="13589" max="13838" width="9.109375" style="56"/>
    <col min="13839" max="13839" width="20.5546875" style="56" customWidth="1"/>
    <col min="13840" max="13840" width="112.88671875" style="56" customWidth="1"/>
    <col min="13841" max="13841" width="9.88671875" style="56" customWidth="1"/>
    <col min="13842" max="13842" width="14.44140625" style="56" customWidth="1"/>
    <col min="13843" max="13843" width="41.5546875" style="56" customWidth="1"/>
    <col min="13844" max="13844" width="45.5546875" style="56" customWidth="1"/>
    <col min="13845" max="14094" width="9.109375" style="56"/>
    <col min="14095" max="14095" width="20.5546875" style="56" customWidth="1"/>
    <col min="14096" max="14096" width="112.88671875" style="56" customWidth="1"/>
    <col min="14097" max="14097" width="9.88671875" style="56" customWidth="1"/>
    <col min="14098" max="14098" width="14.44140625" style="56" customWidth="1"/>
    <col min="14099" max="14099" width="41.5546875" style="56" customWidth="1"/>
    <col min="14100" max="14100" width="45.5546875" style="56" customWidth="1"/>
    <col min="14101" max="14350" width="9.109375" style="56"/>
    <col min="14351" max="14351" width="20.5546875" style="56" customWidth="1"/>
    <col min="14352" max="14352" width="112.88671875" style="56" customWidth="1"/>
    <col min="14353" max="14353" width="9.88671875" style="56" customWidth="1"/>
    <col min="14354" max="14354" width="14.44140625" style="56" customWidth="1"/>
    <col min="14355" max="14355" width="41.5546875" style="56" customWidth="1"/>
    <col min="14356" max="14356" width="45.5546875" style="56" customWidth="1"/>
    <col min="14357" max="14606" width="9.109375" style="56"/>
    <col min="14607" max="14607" width="20.5546875" style="56" customWidth="1"/>
    <col min="14608" max="14608" width="112.88671875" style="56" customWidth="1"/>
    <col min="14609" max="14609" width="9.88671875" style="56" customWidth="1"/>
    <col min="14610" max="14610" width="14.44140625" style="56" customWidth="1"/>
    <col min="14611" max="14611" width="41.5546875" style="56" customWidth="1"/>
    <col min="14612" max="14612" width="45.5546875" style="56" customWidth="1"/>
    <col min="14613" max="14862" width="9.109375" style="56"/>
    <col min="14863" max="14863" width="20.5546875" style="56" customWidth="1"/>
    <col min="14864" max="14864" width="112.88671875" style="56" customWidth="1"/>
    <col min="14865" max="14865" width="9.88671875" style="56" customWidth="1"/>
    <col min="14866" max="14866" width="14.44140625" style="56" customWidth="1"/>
    <col min="14867" max="14867" width="41.5546875" style="56" customWidth="1"/>
    <col min="14868" max="14868" width="45.5546875" style="56" customWidth="1"/>
    <col min="14869" max="15118" width="9.109375" style="56"/>
    <col min="15119" max="15119" width="20.5546875" style="56" customWidth="1"/>
    <col min="15120" max="15120" width="112.88671875" style="56" customWidth="1"/>
    <col min="15121" max="15121" width="9.88671875" style="56" customWidth="1"/>
    <col min="15122" max="15122" width="14.44140625" style="56" customWidth="1"/>
    <col min="15123" max="15123" width="41.5546875" style="56" customWidth="1"/>
    <col min="15124" max="15124" width="45.5546875" style="56" customWidth="1"/>
    <col min="15125" max="15374" width="9.109375" style="56"/>
    <col min="15375" max="15375" width="20.5546875" style="56" customWidth="1"/>
    <col min="15376" max="15376" width="112.88671875" style="56" customWidth="1"/>
    <col min="15377" max="15377" width="9.88671875" style="56" customWidth="1"/>
    <col min="15378" max="15378" width="14.44140625" style="56" customWidth="1"/>
    <col min="15379" max="15379" width="41.5546875" style="56" customWidth="1"/>
    <col min="15380" max="15380" width="45.5546875" style="56" customWidth="1"/>
    <col min="15381" max="15630" width="9.109375" style="56"/>
    <col min="15631" max="15631" width="20.5546875" style="56" customWidth="1"/>
    <col min="15632" max="15632" width="112.88671875" style="56" customWidth="1"/>
    <col min="15633" max="15633" width="9.88671875" style="56" customWidth="1"/>
    <col min="15634" max="15634" width="14.44140625" style="56" customWidth="1"/>
    <col min="15635" max="15635" width="41.5546875" style="56" customWidth="1"/>
    <col min="15636" max="15636" width="45.5546875" style="56" customWidth="1"/>
    <col min="15637" max="16384" width="9.109375" style="56"/>
  </cols>
  <sheetData>
    <row r="1" spans="1:7" ht="70.5" customHeight="1">
      <c r="A1" s="130" t="s">
        <v>10</v>
      </c>
      <c r="B1" s="337" t="s">
        <v>575</v>
      </c>
      <c r="C1" s="338"/>
      <c r="D1" s="338"/>
      <c r="E1" s="338"/>
      <c r="F1" s="338"/>
      <c r="G1" s="339"/>
    </row>
    <row r="2" spans="1:7" s="17" customFormat="1" ht="40.5" customHeight="1">
      <c r="A2" s="316" t="s">
        <v>594</v>
      </c>
      <c r="B2" s="316"/>
      <c r="C2" s="316"/>
      <c r="D2" s="316"/>
      <c r="E2" s="316"/>
      <c r="F2" s="316"/>
      <c r="G2" s="316"/>
    </row>
    <row r="3" spans="1:7" s="18" customFormat="1" ht="18" customHeight="1">
      <c r="A3" s="340" t="s">
        <v>527</v>
      </c>
      <c r="B3" s="341"/>
      <c r="C3" s="341"/>
      <c r="D3" s="341"/>
      <c r="E3" s="341"/>
      <c r="F3" s="341"/>
      <c r="G3" s="341"/>
    </row>
    <row r="4" spans="1:7" s="29" customFormat="1" ht="18" customHeight="1">
      <c r="A4" s="328" t="s">
        <v>0</v>
      </c>
      <c r="B4" s="328"/>
      <c r="C4" s="328"/>
      <c r="D4" s="328"/>
      <c r="E4" s="328"/>
      <c r="F4" s="328"/>
      <c r="G4" s="328"/>
    </row>
    <row r="5" spans="1:7" s="57" customFormat="1" ht="132" customHeight="1">
      <c r="A5" s="131" t="s">
        <v>229</v>
      </c>
      <c r="B5" s="131" t="s">
        <v>2</v>
      </c>
      <c r="C5" s="131" t="s">
        <v>3</v>
      </c>
      <c r="D5" s="132" t="s">
        <v>14</v>
      </c>
      <c r="E5" s="97" t="s">
        <v>478</v>
      </c>
      <c r="F5" s="237" t="s">
        <v>478</v>
      </c>
      <c r="G5" s="91" t="s">
        <v>479</v>
      </c>
    </row>
    <row r="6" spans="1:7" s="57" customFormat="1" ht="15.6">
      <c r="A6" s="131"/>
      <c r="B6" s="131"/>
      <c r="C6" s="113" t="s">
        <v>4</v>
      </c>
      <c r="D6" s="114" t="s">
        <v>5</v>
      </c>
      <c r="E6" s="98" t="s">
        <v>6</v>
      </c>
      <c r="F6" s="98" t="s">
        <v>6</v>
      </c>
      <c r="G6" s="92" t="s">
        <v>7</v>
      </c>
    </row>
    <row r="7" spans="1:7" s="57" customFormat="1" ht="30.75" customHeight="1">
      <c r="A7" s="133" t="s">
        <v>230</v>
      </c>
      <c r="B7" s="134" t="s">
        <v>231</v>
      </c>
      <c r="C7" s="113"/>
      <c r="D7" s="114"/>
      <c r="E7" s="98"/>
      <c r="F7" s="98"/>
      <c r="G7" s="92"/>
    </row>
    <row r="8" spans="1:7" s="57" customFormat="1" ht="75" customHeight="1">
      <c r="A8" s="133" t="s">
        <v>232</v>
      </c>
      <c r="B8" s="121" t="s">
        <v>233</v>
      </c>
      <c r="C8" s="133" t="s">
        <v>11</v>
      </c>
      <c r="D8" s="135">
        <v>1</v>
      </c>
      <c r="E8" s="136">
        <f>23740-(23740*0.55/100)</f>
        <v>23609.43</v>
      </c>
      <c r="F8" s="136">
        <f>E8*1.1</f>
        <v>25970.373000000003</v>
      </c>
      <c r="G8" s="79">
        <f>F8*D8</f>
        <v>25970.373000000003</v>
      </c>
    </row>
    <row r="9" spans="1:7" s="57" customFormat="1" ht="58.5" hidden="1" customHeight="1">
      <c r="A9" s="133" t="s">
        <v>234</v>
      </c>
      <c r="B9" s="121" t="s">
        <v>235</v>
      </c>
      <c r="C9" s="133" t="s">
        <v>11</v>
      </c>
      <c r="D9" s="135">
        <v>0</v>
      </c>
      <c r="E9" s="136">
        <v>25000</v>
      </c>
      <c r="F9" s="136">
        <f t="shared" ref="F9:F12" si="0">E9*1.1</f>
        <v>27500.000000000004</v>
      </c>
      <c r="G9" s="79">
        <f t="shared" ref="G9:G31" si="1">F9*D9</f>
        <v>0</v>
      </c>
    </row>
    <row r="10" spans="1:7" s="57" customFormat="1" ht="52.8">
      <c r="A10" s="133" t="s">
        <v>236</v>
      </c>
      <c r="B10" s="116" t="s">
        <v>237</v>
      </c>
      <c r="C10" s="133" t="s">
        <v>11</v>
      </c>
      <c r="D10" s="135">
        <v>1</v>
      </c>
      <c r="E10" s="136">
        <f>17985-(17985*0.55/100)</f>
        <v>17886.0825</v>
      </c>
      <c r="F10" s="136">
        <f t="shared" si="0"/>
        <v>19674.690750000002</v>
      </c>
      <c r="G10" s="79">
        <f t="shared" si="1"/>
        <v>19674.690750000002</v>
      </c>
    </row>
    <row r="11" spans="1:7" s="57" customFormat="1" ht="30" hidden="1" customHeight="1">
      <c r="A11" s="133" t="s">
        <v>238</v>
      </c>
      <c r="B11" s="121" t="s">
        <v>239</v>
      </c>
      <c r="C11" s="133" t="s">
        <v>11</v>
      </c>
      <c r="D11" s="135">
        <v>0</v>
      </c>
      <c r="E11" s="136">
        <f>6881.25*1.2</f>
        <v>8257.5</v>
      </c>
      <c r="F11" s="136">
        <f t="shared" si="0"/>
        <v>9083.25</v>
      </c>
      <c r="G11" s="79">
        <f t="shared" si="1"/>
        <v>0</v>
      </c>
    </row>
    <row r="12" spans="1:7" s="57" customFormat="1" ht="62.25" customHeight="1">
      <c r="A12" s="133" t="s">
        <v>240</v>
      </c>
      <c r="B12" s="127" t="s">
        <v>241</v>
      </c>
      <c r="C12" s="133" t="s">
        <v>11</v>
      </c>
      <c r="D12" s="135">
        <v>1</v>
      </c>
      <c r="E12" s="136">
        <f>50000-(50000*0.55/100)</f>
        <v>49725</v>
      </c>
      <c r="F12" s="136">
        <f t="shared" si="0"/>
        <v>54697.500000000007</v>
      </c>
      <c r="G12" s="79">
        <f t="shared" si="1"/>
        <v>54697.500000000007</v>
      </c>
    </row>
    <row r="13" spans="1:7" s="57" customFormat="1" ht="138" customHeight="1">
      <c r="A13" s="133" t="s">
        <v>242</v>
      </c>
      <c r="B13" s="127" t="s">
        <v>243</v>
      </c>
      <c r="C13" s="133"/>
      <c r="D13" s="137"/>
      <c r="E13" s="136"/>
      <c r="F13" s="136"/>
      <c r="G13" s="79" t="s">
        <v>511</v>
      </c>
    </row>
    <row r="14" spans="1:7" s="57" customFormat="1" ht="25.5" customHeight="1">
      <c r="A14" s="133" t="s">
        <v>244</v>
      </c>
      <c r="B14" s="121" t="s">
        <v>245</v>
      </c>
      <c r="C14" s="138" t="s">
        <v>11</v>
      </c>
      <c r="D14" s="137">
        <v>3</v>
      </c>
      <c r="E14" s="136">
        <f>21582-(21582*0.55/100)</f>
        <v>21463.298999999999</v>
      </c>
      <c r="F14" s="136">
        <f t="shared" ref="F14:F18" si="2">E14*1.1</f>
        <v>23609.6289</v>
      </c>
      <c r="G14" s="79">
        <f t="shared" si="1"/>
        <v>70828.886700000003</v>
      </c>
    </row>
    <row r="15" spans="1:7" s="57" customFormat="1" ht="15" customHeight="1">
      <c r="A15" s="133" t="s">
        <v>246</v>
      </c>
      <c r="B15" s="121" t="s">
        <v>247</v>
      </c>
      <c r="C15" s="138" t="s">
        <v>11</v>
      </c>
      <c r="D15" s="137">
        <v>1</v>
      </c>
      <c r="E15" s="136">
        <f>46041-(46041*0.55/100)</f>
        <v>45787.7745</v>
      </c>
      <c r="F15" s="136">
        <f t="shared" si="2"/>
        <v>50366.551950000001</v>
      </c>
      <c r="G15" s="79">
        <f t="shared" si="1"/>
        <v>50366.551950000001</v>
      </c>
    </row>
    <row r="16" spans="1:7" s="57" customFormat="1" ht="15" customHeight="1">
      <c r="A16" s="133" t="s">
        <v>248</v>
      </c>
      <c r="B16" s="121" t="s">
        <v>249</v>
      </c>
      <c r="C16" s="138" t="s">
        <v>250</v>
      </c>
      <c r="D16" s="137">
        <v>100</v>
      </c>
      <c r="E16" s="136">
        <f>575-(575*0.55/100)</f>
        <v>571.83749999999998</v>
      </c>
      <c r="F16" s="136">
        <f t="shared" si="2"/>
        <v>629.02125000000001</v>
      </c>
      <c r="G16" s="79">
        <f t="shared" si="1"/>
        <v>62902.125</v>
      </c>
    </row>
    <row r="17" spans="1:7" s="57" customFormat="1" ht="15" customHeight="1">
      <c r="A17" s="133" t="s">
        <v>251</v>
      </c>
      <c r="B17" s="121" t="s">
        <v>252</v>
      </c>
      <c r="C17" s="138" t="s">
        <v>253</v>
      </c>
      <c r="D17" s="137">
        <v>1</v>
      </c>
      <c r="E17" s="136">
        <v>5789.14</v>
      </c>
      <c r="F17" s="136">
        <f t="shared" si="2"/>
        <v>6368.054000000001</v>
      </c>
      <c r="G17" s="79">
        <f t="shared" si="1"/>
        <v>6368.054000000001</v>
      </c>
    </row>
    <row r="18" spans="1:7" s="57" customFormat="1" ht="15" hidden="1" customHeight="1">
      <c r="A18" s="133" t="s">
        <v>254</v>
      </c>
      <c r="B18" s="121" t="s">
        <v>255</v>
      </c>
      <c r="C18" s="138" t="s">
        <v>11</v>
      </c>
      <c r="D18" s="137">
        <v>0</v>
      </c>
      <c r="E18" s="136">
        <v>86860</v>
      </c>
      <c r="F18" s="136">
        <f t="shared" si="2"/>
        <v>95546.000000000015</v>
      </c>
      <c r="G18" s="79">
        <f t="shared" si="1"/>
        <v>0</v>
      </c>
    </row>
    <row r="19" spans="1:7" s="57" customFormat="1" ht="127.5" customHeight="1">
      <c r="A19" s="133" t="s">
        <v>256</v>
      </c>
      <c r="B19" s="127" t="s">
        <v>257</v>
      </c>
      <c r="C19" s="133"/>
      <c r="D19" s="137"/>
      <c r="E19" s="136"/>
      <c r="F19" s="136"/>
      <c r="G19" s="79" t="s">
        <v>511</v>
      </c>
    </row>
    <row r="20" spans="1:7" s="57" customFormat="1" ht="15" customHeight="1">
      <c r="A20" s="133" t="s">
        <v>258</v>
      </c>
      <c r="B20" s="139" t="s">
        <v>259</v>
      </c>
      <c r="C20" s="138" t="s">
        <v>250</v>
      </c>
      <c r="D20" s="146">
        <v>50</v>
      </c>
      <c r="E20" s="136">
        <f>474-(474*0.55/100)</f>
        <v>471.39299999999997</v>
      </c>
      <c r="F20" s="136">
        <f t="shared" ref="F20:F31" si="3">E20*1.1</f>
        <v>518.53229999999996</v>
      </c>
      <c r="G20" s="79">
        <f t="shared" si="1"/>
        <v>25926.614999999998</v>
      </c>
    </row>
    <row r="21" spans="1:7" s="57" customFormat="1" ht="15" customHeight="1">
      <c r="A21" s="133" t="s">
        <v>260</v>
      </c>
      <c r="B21" s="139" t="s">
        <v>261</v>
      </c>
      <c r="C21" s="138" t="s">
        <v>250</v>
      </c>
      <c r="D21" s="146">
        <v>50</v>
      </c>
      <c r="E21" s="136">
        <f>553-(553*0.55/100)</f>
        <v>549.95849999999996</v>
      </c>
      <c r="F21" s="136">
        <f t="shared" si="3"/>
        <v>604.95434999999998</v>
      </c>
      <c r="G21" s="79">
        <f t="shared" si="1"/>
        <v>30247.717499999999</v>
      </c>
    </row>
    <row r="22" spans="1:7" s="57" customFormat="1" ht="15" customHeight="1">
      <c r="A22" s="133" t="s">
        <v>262</v>
      </c>
      <c r="B22" s="139" t="s">
        <v>263</v>
      </c>
      <c r="C22" s="138" t="s">
        <v>250</v>
      </c>
      <c r="D22" s="146">
        <v>100</v>
      </c>
      <c r="E22" s="136">
        <f>719-(719*0.55/100)</f>
        <v>715.04549999999995</v>
      </c>
      <c r="F22" s="136">
        <f t="shared" si="3"/>
        <v>786.55005000000006</v>
      </c>
      <c r="G22" s="79">
        <f t="shared" si="1"/>
        <v>78655.005000000005</v>
      </c>
    </row>
    <row r="23" spans="1:7" s="57" customFormat="1" ht="15" customHeight="1">
      <c r="A23" s="133" t="s">
        <v>264</v>
      </c>
      <c r="B23" s="139" t="s">
        <v>265</v>
      </c>
      <c r="C23" s="138" t="s">
        <v>250</v>
      </c>
      <c r="D23" s="146">
        <v>100</v>
      </c>
      <c r="E23" s="136">
        <f>1008.7-(1008.7*0.55/100)</f>
        <v>1003.15215</v>
      </c>
      <c r="F23" s="136">
        <f t="shared" si="3"/>
        <v>1103.4673650000002</v>
      </c>
      <c r="G23" s="79">
        <f t="shared" si="1"/>
        <v>110346.73650000001</v>
      </c>
    </row>
    <row r="24" spans="1:7" s="57" customFormat="1" ht="15" customHeight="1">
      <c r="A24" s="133" t="s">
        <v>266</v>
      </c>
      <c r="B24" s="139" t="s">
        <v>267</v>
      </c>
      <c r="C24" s="138" t="s">
        <v>250</v>
      </c>
      <c r="D24" s="146">
        <v>25</v>
      </c>
      <c r="E24" s="136">
        <f>807.4-(807.4*0.55/100)</f>
        <v>802.95929999999998</v>
      </c>
      <c r="F24" s="136">
        <f t="shared" si="3"/>
        <v>883.2552300000001</v>
      </c>
      <c r="G24" s="79">
        <f t="shared" si="1"/>
        <v>22081.380750000004</v>
      </c>
    </row>
    <row r="25" spans="1:7" s="57" customFormat="1" ht="15" customHeight="1">
      <c r="A25" s="133" t="s">
        <v>268</v>
      </c>
      <c r="B25" s="139" t="s">
        <v>269</v>
      </c>
      <c r="C25" s="138" t="s">
        <v>250</v>
      </c>
      <c r="D25" s="146">
        <v>25</v>
      </c>
      <c r="E25" s="136">
        <f>720-(720*0.55/100)</f>
        <v>716.04</v>
      </c>
      <c r="F25" s="136">
        <f t="shared" si="3"/>
        <v>787.64400000000001</v>
      </c>
      <c r="G25" s="79">
        <f t="shared" si="1"/>
        <v>19691.099999999999</v>
      </c>
    </row>
    <row r="26" spans="1:7" s="57" customFormat="1" ht="15" customHeight="1">
      <c r="A26" s="133" t="s">
        <v>270</v>
      </c>
      <c r="B26" s="139" t="s">
        <v>271</v>
      </c>
      <c r="C26" s="138" t="s">
        <v>11</v>
      </c>
      <c r="D26" s="146">
        <v>1</v>
      </c>
      <c r="E26" s="136">
        <f>35000-(35000*0.55/100)</f>
        <v>34807.5</v>
      </c>
      <c r="F26" s="136">
        <f t="shared" si="3"/>
        <v>38288.25</v>
      </c>
      <c r="G26" s="79">
        <f t="shared" si="1"/>
        <v>38288.25</v>
      </c>
    </row>
    <row r="27" spans="1:7" s="57" customFormat="1" ht="15" customHeight="1">
      <c r="A27" s="133" t="s">
        <v>272</v>
      </c>
      <c r="B27" s="139" t="s">
        <v>273</v>
      </c>
      <c r="C27" s="138" t="s">
        <v>250</v>
      </c>
      <c r="D27" s="146">
        <v>25</v>
      </c>
      <c r="E27" s="136">
        <v>450</v>
      </c>
      <c r="F27" s="136">
        <f t="shared" si="3"/>
        <v>495.00000000000006</v>
      </c>
      <c r="G27" s="79">
        <f t="shared" si="1"/>
        <v>12375.000000000002</v>
      </c>
    </row>
    <row r="28" spans="1:7" s="57" customFormat="1" ht="15" hidden="1" customHeight="1">
      <c r="A28" s="133" t="s">
        <v>274</v>
      </c>
      <c r="B28" s="139" t="s">
        <v>275</v>
      </c>
      <c r="C28" s="138" t="s">
        <v>250</v>
      </c>
      <c r="D28" s="137">
        <v>0</v>
      </c>
      <c r="E28" s="136">
        <v>550</v>
      </c>
      <c r="F28" s="136">
        <f t="shared" si="3"/>
        <v>605</v>
      </c>
      <c r="G28" s="79">
        <f t="shared" si="1"/>
        <v>0</v>
      </c>
    </row>
    <row r="29" spans="1:7" s="57" customFormat="1" ht="15" hidden="1" customHeight="1">
      <c r="A29" s="133" t="s">
        <v>276</v>
      </c>
      <c r="B29" s="139" t="s">
        <v>277</v>
      </c>
      <c r="C29" s="138" t="s">
        <v>250</v>
      </c>
      <c r="D29" s="137">
        <v>0</v>
      </c>
      <c r="E29" s="136">
        <v>650</v>
      </c>
      <c r="F29" s="136">
        <f t="shared" si="3"/>
        <v>715.00000000000011</v>
      </c>
      <c r="G29" s="79">
        <f t="shared" si="1"/>
        <v>0</v>
      </c>
    </row>
    <row r="30" spans="1:7" s="57" customFormat="1" ht="123" customHeight="1">
      <c r="A30" s="133" t="s">
        <v>278</v>
      </c>
      <c r="B30" s="140" t="s">
        <v>541</v>
      </c>
      <c r="C30" s="138" t="s">
        <v>11</v>
      </c>
      <c r="D30" s="137">
        <v>1</v>
      </c>
      <c r="E30" s="136">
        <f>83930-(83930*0.55/100)</f>
        <v>83468.384999999995</v>
      </c>
      <c r="F30" s="136">
        <f t="shared" si="3"/>
        <v>91815.223500000007</v>
      </c>
      <c r="G30" s="79">
        <f t="shared" si="1"/>
        <v>91815.223500000007</v>
      </c>
    </row>
    <row r="31" spans="1:7" s="58" customFormat="1" ht="30.75" customHeight="1">
      <c r="A31" s="133" t="s">
        <v>279</v>
      </c>
      <c r="B31" s="127" t="s">
        <v>280</v>
      </c>
      <c r="C31" s="138" t="s">
        <v>11</v>
      </c>
      <c r="D31" s="137">
        <v>1</v>
      </c>
      <c r="E31" s="136">
        <v>75000</v>
      </c>
      <c r="F31" s="136">
        <f t="shared" si="3"/>
        <v>82500</v>
      </c>
      <c r="G31" s="79">
        <f t="shared" si="1"/>
        <v>82500</v>
      </c>
    </row>
    <row r="32" spans="1:7" s="57" customFormat="1" ht="20.25" customHeight="1">
      <c r="A32" s="336" t="s">
        <v>281</v>
      </c>
      <c r="B32" s="336"/>
      <c r="C32" s="336"/>
      <c r="D32" s="336"/>
      <c r="E32" s="97"/>
      <c r="F32" s="237"/>
      <c r="G32" s="95">
        <f>ROUND(SUM(G7:G31),2)</f>
        <v>802735.21</v>
      </c>
    </row>
    <row r="33" spans="1:7" s="57" customFormat="1">
      <c r="A33" s="59"/>
      <c r="B33" s="60"/>
      <c r="C33" s="59"/>
      <c r="D33" s="67"/>
      <c r="E33" s="87"/>
      <c r="F33" s="87"/>
      <c r="G33" s="89"/>
    </row>
  </sheetData>
  <sheetProtection password="CEE5" sheet="1" objects="1" scenarios="1" formatCells="0" formatColumns="0" formatRows="0"/>
  <autoFilter ref="D1:D33">
    <filterColumn colId="0">
      <filters blank="1">
        <filter val="(2)"/>
        <filter val="1"/>
        <filter val="100"/>
        <filter val="25"/>
        <filter val="3"/>
        <filter val="50"/>
        <filter val="Qty."/>
      </filters>
    </filterColumn>
  </autoFilter>
  <mergeCells count="6">
    <mergeCell ref="A32:B32"/>
    <mergeCell ref="C32:D32"/>
    <mergeCell ref="B1:G1"/>
    <mergeCell ref="A2:G2"/>
    <mergeCell ref="A4:G4"/>
    <mergeCell ref="A3:G3"/>
  </mergeCells>
  <pageMargins left="0.70866141732283472" right="0.70866141732283472" top="0.74803149606299213" bottom="0.74803149606299213" header="0.31496062992125984" footer="0.31496062992125984"/>
  <pageSetup paperSize="9" scale="35" orientation="landscape" r:id="rId1"/>
  <drawing r:id="rId2"/>
</worksheet>
</file>

<file path=xl/worksheets/sheet9.xml><?xml version="1.0" encoding="utf-8"?>
<worksheet xmlns="http://schemas.openxmlformats.org/spreadsheetml/2006/main" xmlns:r="http://schemas.openxmlformats.org/officeDocument/2006/relationships">
  <sheetPr filterMode="1">
    <tabColor rgb="FF92D050"/>
  </sheetPr>
  <dimension ref="A1:G24"/>
  <sheetViews>
    <sheetView view="pageBreakPreview" topLeftCell="C4" zoomScale="70" zoomScaleNormal="70" zoomScaleSheetLayoutView="70" workbookViewId="0">
      <selection activeCell="L12" sqref="L12"/>
    </sheetView>
  </sheetViews>
  <sheetFormatPr defaultRowHeight="13.8"/>
  <cols>
    <col min="1" max="1" width="26.33203125" style="128" customWidth="1"/>
    <col min="2" max="2" width="91.109375" style="129" customWidth="1"/>
    <col min="3" max="3" width="8.44140625" style="129" customWidth="1"/>
    <col min="4" max="4" width="10.5546875" style="129" customWidth="1"/>
    <col min="5" max="5" width="37.88671875" style="101" hidden="1" customWidth="1"/>
    <col min="6" max="6" width="37.88671875" style="101" customWidth="1"/>
    <col min="7" max="7" width="34.6640625" style="96" customWidth="1"/>
    <col min="8" max="256" width="9.109375" style="129"/>
    <col min="257" max="257" width="17.88671875" style="129" customWidth="1"/>
    <col min="258" max="258" width="91.109375" style="129" customWidth="1"/>
    <col min="259" max="259" width="8.5546875" style="129" customWidth="1"/>
    <col min="260" max="260" width="10.6640625" style="129" customWidth="1"/>
    <col min="261" max="261" width="37.88671875" style="129" customWidth="1"/>
    <col min="262" max="262" width="42.6640625" style="129" customWidth="1"/>
    <col min="263" max="512" width="9.109375" style="129"/>
    <col min="513" max="513" width="17.88671875" style="129" customWidth="1"/>
    <col min="514" max="514" width="91.109375" style="129" customWidth="1"/>
    <col min="515" max="515" width="8.5546875" style="129" customWidth="1"/>
    <col min="516" max="516" width="10.6640625" style="129" customWidth="1"/>
    <col min="517" max="517" width="37.88671875" style="129" customWidth="1"/>
    <col min="518" max="518" width="42.6640625" style="129" customWidth="1"/>
    <col min="519" max="768" width="9.109375" style="129"/>
    <col min="769" max="769" width="17.88671875" style="129" customWidth="1"/>
    <col min="770" max="770" width="91.109375" style="129" customWidth="1"/>
    <col min="771" max="771" width="8.5546875" style="129" customWidth="1"/>
    <col min="772" max="772" width="10.6640625" style="129" customWidth="1"/>
    <col min="773" max="773" width="37.88671875" style="129" customWidth="1"/>
    <col min="774" max="774" width="42.6640625" style="129" customWidth="1"/>
    <col min="775" max="1024" width="9.109375" style="129"/>
    <col min="1025" max="1025" width="17.88671875" style="129" customWidth="1"/>
    <col min="1026" max="1026" width="91.109375" style="129" customWidth="1"/>
    <col min="1027" max="1027" width="8.5546875" style="129" customWidth="1"/>
    <col min="1028" max="1028" width="10.6640625" style="129" customWidth="1"/>
    <col min="1029" max="1029" width="37.88671875" style="129" customWidth="1"/>
    <col min="1030" max="1030" width="42.6640625" style="129" customWidth="1"/>
    <col min="1031" max="1280" width="9.109375" style="129"/>
    <col min="1281" max="1281" width="17.88671875" style="129" customWidth="1"/>
    <col min="1282" max="1282" width="91.109375" style="129" customWidth="1"/>
    <col min="1283" max="1283" width="8.5546875" style="129" customWidth="1"/>
    <col min="1284" max="1284" width="10.6640625" style="129" customWidth="1"/>
    <col min="1285" max="1285" width="37.88671875" style="129" customWidth="1"/>
    <col min="1286" max="1286" width="42.6640625" style="129" customWidth="1"/>
    <col min="1287" max="1536" width="9.109375" style="129"/>
    <col min="1537" max="1537" width="17.88671875" style="129" customWidth="1"/>
    <col min="1538" max="1538" width="91.109375" style="129" customWidth="1"/>
    <col min="1539" max="1539" width="8.5546875" style="129" customWidth="1"/>
    <col min="1540" max="1540" width="10.6640625" style="129" customWidth="1"/>
    <col min="1541" max="1541" width="37.88671875" style="129" customWidth="1"/>
    <col min="1542" max="1542" width="42.6640625" style="129" customWidth="1"/>
    <col min="1543" max="1792" width="9.109375" style="129"/>
    <col min="1793" max="1793" width="17.88671875" style="129" customWidth="1"/>
    <col min="1794" max="1794" width="91.109375" style="129" customWidth="1"/>
    <col min="1795" max="1795" width="8.5546875" style="129" customWidth="1"/>
    <col min="1796" max="1796" width="10.6640625" style="129" customWidth="1"/>
    <col min="1797" max="1797" width="37.88671875" style="129" customWidth="1"/>
    <col min="1798" max="1798" width="42.6640625" style="129" customWidth="1"/>
    <col min="1799" max="2048" width="9.109375" style="129"/>
    <col min="2049" max="2049" width="17.88671875" style="129" customWidth="1"/>
    <col min="2050" max="2050" width="91.109375" style="129" customWidth="1"/>
    <col min="2051" max="2051" width="8.5546875" style="129" customWidth="1"/>
    <col min="2052" max="2052" width="10.6640625" style="129" customWidth="1"/>
    <col min="2053" max="2053" width="37.88671875" style="129" customWidth="1"/>
    <col min="2054" max="2054" width="42.6640625" style="129" customWidth="1"/>
    <col min="2055" max="2304" width="9.109375" style="129"/>
    <col min="2305" max="2305" width="17.88671875" style="129" customWidth="1"/>
    <col min="2306" max="2306" width="91.109375" style="129" customWidth="1"/>
    <col min="2307" max="2307" width="8.5546875" style="129" customWidth="1"/>
    <col min="2308" max="2308" width="10.6640625" style="129" customWidth="1"/>
    <col min="2309" max="2309" width="37.88671875" style="129" customWidth="1"/>
    <col min="2310" max="2310" width="42.6640625" style="129" customWidth="1"/>
    <col min="2311" max="2560" width="9.109375" style="129"/>
    <col min="2561" max="2561" width="17.88671875" style="129" customWidth="1"/>
    <col min="2562" max="2562" width="91.109375" style="129" customWidth="1"/>
    <col min="2563" max="2563" width="8.5546875" style="129" customWidth="1"/>
    <col min="2564" max="2564" width="10.6640625" style="129" customWidth="1"/>
    <col min="2565" max="2565" width="37.88671875" style="129" customWidth="1"/>
    <col min="2566" max="2566" width="42.6640625" style="129" customWidth="1"/>
    <col min="2567" max="2816" width="9.109375" style="129"/>
    <col min="2817" max="2817" width="17.88671875" style="129" customWidth="1"/>
    <col min="2818" max="2818" width="91.109375" style="129" customWidth="1"/>
    <col min="2819" max="2819" width="8.5546875" style="129" customWidth="1"/>
    <col min="2820" max="2820" width="10.6640625" style="129" customWidth="1"/>
    <col min="2821" max="2821" width="37.88671875" style="129" customWidth="1"/>
    <col min="2822" max="2822" width="42.6640625" style="129" customWidth="1"/>
    <col min="2823" max="3072" width="9.109375" style="129"/>
    <col min="3073" max="3073" width="17.88671875" style="129" customWidth="1"/>
    <col min="3074" max="3074" width="91.109375" style="129" customWidth="1"/>
    <col min="3075" max="3075" width="8.5546875" style="129" customWidth="1"/>
    <col min="3076" max="3076" width="10.6640625" style="129" customWidth="1"/>
    <col min="3077" max="3077" width="37.88671875" style="129" customWidth="1"/>
    <col min="3078" max="3078" width="42.6640625" style="129" customWidth="1"/>
    <col min="3079" max="3328" width="9.109375" style="129"/>
    <col min="3329" max="3329" width="17.88671875" style="129" customWidth="1"/>
    <col min="3330" max="3330" width="91.109375" style="129" customWidth="1"/>
    <col min="3331" max="3331" width="8.5546875" style="129" customWidth="1"/>
    <col min="3332" max="3332" width="10.6640625" style="129" customWidth="1"/>
    <col min="3333" max="3333" width="37.88671875" style="129" customWidth="1"/>
    <col min="3334" max="3334" width="42.6640625" style="129" customWidth="1"/>
    <col min="3335" max="3584" width="9.109375" style="129"/>
    <col min="3585" max="3585" width="17.88671875" style="129" customWidth="1"/>
    <col min="3586" max="3586" width="91.109375" style="129" customWidth="1"/>
    <col min="3587" max="3587" width="8.5546875" style="129" customWidth="1"/>
    <col min="3588" max="3588" width="10.6640625" style="129" customWidth="1"/>
    <col min="3589" max="3589" width="37.88671875" style="129" customWidth="1"/>
    <col min="3590" max="3590" width="42.6640625" style="129" customWidth="1"/>
    <col min="3591" max="3840" width="9.109375" style="129"/>
    <col min="3841" max="3841" width="17.88671875" style="129" customWidth="1"/>
    <col min="3842" max="3842" width="91.109375" style="129" customWidth="1"/>
    <col min="3843" max="3843" width="8.5546875" style="129" customWidth="1"/>
    <col min="3844" max="3844" width="10.6640625" style="129" customWidth="1"/>
    <col min="3845" max="3845" width="37.88671875" style="129" customWidth="1"/>
    <col min="3846" max="3846" width="42.6640625" style="129" customWidth="1"/>
    <col min="3847" max="4096" width="9.109375" style="129"/>
    <col min="4097" max="4097" width="17.88671875" style="129" customWidth="1"/>
    <col min="4098" max="4098" width="91.109375" style="129" customWidth="1"/>
    <col min="4099" max="4099" width="8.5546875" style="129" customWidth="1"/>
    <col min="4100" max="4100" width="10.6640625" style="129" customWidth="1"/>
    <col min="4101" max="4101" width="37.88671875" style="129" customWidth="1"/>
    <col min="4102" max="4102" width="42.6640625" style="129" customWidth="1"/>
    <col min="4103" max="4352" width="9.109375" style="129"/>
    <col min="4353" max="4353" width="17.88671875" style="129" customWidth="1"/>
    <col min="4354" max="4354" width="91.109375" style="129" customWidth="1"/>
    <col min="4355" max="4355" width="8.5546875" style="129" customWidth="1"/>
    <col min="4356" max="4356" width="10.6640625" style="129" customWidth="1"/>
    <col min="4357" max="4357" width="37.88671875" style="129" customWidth="1"/>
    <col min="4358" max="4358" width="42.6640625" style="129" customWidth="1"/>
    <col min="4359" max="4608" width="9.109375" style="129"/>
    <col min="4609" max="4609" width="17.88671875" style="129" customWidth="1"/>
    <col min="4610" max="4610" width="91.109375" style="129" customWidth="1"/>
    <col min="4611" max="4611" width="8.5546875" style="129" customWidth="1"/>
    <col min="4612" max="4612" width="10.6640625" style="129" customWidth="1"/>
    <col min="4613" max="4613" width="37.88671875" style="129" customWidth="1"/>
    <col min="4614" max="4614" width="42.6640625" style="129" customWidth="1"/>
    <col min="4615" max="4864" width="9.109375" style="129"/>
    <col min="4865" max="4865" width="17.88671875" style="129" customWidth="1"/>
    <col min="4866" max="4866" width="91.109375" style="129" customWidth="1"/>
    <col min="4867" max="4867" width="8.5546875" style="129" customWidth="1"/>
    <col min="4868" max="4868" width="10.6640625" style="129" customWidth="1"/>
    <col min="4869" max="4869" width="37.88671875" style="129" customWidth="1"/>
    <col min="4870" max="4870" width="42.6640625" style="129" customWidth="1"/>
    <col min="4871" max="5120" width="9.109375" style="129"/>
    <col min="5121" max="5121" width="17.88671875" style="129" customWidth="1"/>
    <col min="5122" max="5122" width="91.109375" style="129" customWidth="1"/>
    <col min="5123" max="5123" width="8.5546875" style="129" customWidth="1"/>
    <col min="5124" max="5124" width="10.6640625" style="129" customWidth="1"/>
    <col min="5125" max="5125" width="37.88671875" style="129" customWidth="1"/>
    <col min="5126" max="5126" width="42.6640625" style="129" customWidth="1"/>
    <col min="5127" max="5376" width="9.109375" style="129"/>
    <col min="5377" max="5377" width="17.88671875" style="129" customWidth="1"/>
    <col min="5378" max="5378" width="91.109375" style="129" customWidth="1"/>
    <col min="5379" max="5379" width="8.5546875" style="129" customWidth="1"/>
    <col min="5380" max="5380" width="10.6640625" style="129" customWidth="1"/>
    <col min="5381" max="5381" width="37.88671875" style="129" customWidth="1"/>
    <col min="5382" max="5382" width="42.6640625" style="129" customWidth="1"/>
    <col min="5383" max="5632" width="9.109375" style="129"/>
    <col min="5633" max="5633" width="17.88671875" style="129" customWidth="1"/>
    <col min="5634" max="5634" width="91.109375" style="129" customWidth="1"/>
    <col min="5635" max="5635" width="8.5546875" style="129" customWidth="1"/>
    <col min="5636" max="5636" width="10.6640625" style="129" customWidth="1"/>
    <col min="5637" max="5637" width="37.88671875" style="129" customWidth="1"/>
    <col min="5638" max="5638" width="42.6640625" style="129" customWidth="1"/>
    <col min="5639" max="5888" width="9.109375" style="129"/>
    <col min="5889" max="5889" width="17.88671875" style="129" customWidth="1"/>
    <col min="5890" max="5890" width="91.109375" style="129" customWidth="1"/>
    <col min="5891" max="5891" width="8.5546875" style="129" customWidth="1"/>
    <col min="5892" max="5892" width="10.6640625" style="129" customWidth="1"/>
    <col min="5893" max="5893" width="37.88671875" style="129" customWidth="1"/>
    <col min="5894" max="5894" width="42.6640625" style="129" customWidth="1"/>
    <col min="5895" max="6144" width="9.109375" style="129"/>
    <col min="6145" max="6145" width="17.88671875" style="129" customWidth="1"/>
    <col min="6146" max="6146" width="91.109375" style="129" customWidth="1"/>
    <col min="6147" max="6147" width="8.5546875" style="129" customWidth="1"/>
    <col min="6148" max="6148" width="10.6640625" style="129" customWidth="1"/>
    <col min="6149" max="6149" width="37.88671875" style="129" customWidth="1"/>
    <col min="6150" max="6150" width="42.6640625" style="129" customWidth="1"/>
    <col min="6151" max="6400" width="9.109375" style="129"/>
    <col min="6401" max="6401" width="17.88671875" style="129" customWidth="1"/>
    <col min="6402" max="6402" width="91.109375" style="129" customWidth="1"/>
    <col min="6403" max="6403" width="8.5546875" style="129" customWidth="1"/>
    <col min="6404" max="6404" width="10.6640625" style="129" customWidth="1"/>
    <col min="6405" max="6405" width="37.88671875" style="129" customWidth="1"/>
    <col min="6406" max="6406" width="42.6640625" style="129" customWidth="1"/>
    <col min="6407" max="6656" width="9.109375" style="129"/>
    <col min="6657" max="6657" width="17.88671875" style="129" customWidth="1"/>
    <col min="6658" max="6658" width="91.109375" style="129" customWidth="1"/>
    <col min="6659" max="6659" width="8.5546875" style="129" customWidth="1"/>
    <col min="6660" max="6660" width="10.6640625" style="129" customWidth="1"/>
    <col min="6661" max="6661" width="37.88671875" style="129" customWidth="1"/>
    <col min="6662" max="6662" width="42.6640625" style="129" customWidth="1"/>
    <col min="6663" max="6912" width="9.109375" style="129"/>
    <col min="6913" max="6913" width="17.88671875" style="129" customWidth="1"/>
    <col min="6914" max="6914" width="91.109375" style="129" customWidth="1"/>
    <col min="6915" max="6915" width="8.5546875" style="129" customWidth="1"/>
    <col min="6916" max="6916" width="10.6640625" style="129" customWidth="1"/>
    <col min="6917" max="6917" width="37.88671875" style="129" customWidth="1"/>
    <col min="6918" max="6918" width="42.6640625" style="129" customWidth="1"/>
    <col min="6919" max="7168" width="9.109375" style="129"/>
    <col min="7169" max="7169" width="17.88671875" style="129" customWidth="1"/>
    <col min="7170" max="7170" width="91.109375" style="129" customWidth="1"/>
    <col min="7171" max="7171" width="8.5546875" style="129" customWidth="1"/>
    <col min="7172" max="7172" width="10.6640625" style="129" customWidth="1"/>
    <col min="7173" max="7173" width="37.88671875" style="129" customWidth="1"/>
    <col min="7174" max="7174" width="42.6640625" style="129" customWidth="1"/>
    <col min="7175" max="7424" width="9.109375" style="129"/>
    <col min="7425" max="7425" width="17.88671875" style="129" customWidth="1"/>
    <col min="7426" max="7426" width="91.109375" style="129" customWidth="1"/>
    <col min="7427" max="7427" width="8.5546875" style="129" customWidth="1"/>
    <col min="7428" max="7428" width="10.6640625" style="129" customWidth="1"/>
    <col min="7429" max="7429" width="37.88671875" style="129" customWidth="1"/>
    <col min="7430" max="7430" width="42.6640625" style="129" customWidth="1"/>
    <col min="7431" max="7680" width="9.109375" style="129"/>
    <col min="7681" max="7681" width="17.88671875" style="129" customWidth="1"/>
    <col min="7682" max="7682" width="91.109375" style="129" customWidth="1"/>
    <col min="7683" max="7683" width="8.5546875" style="129" customWidth="1"/>
    <col min="7684" max="7684" width="10.6640625" style="129" customWidth="1"/>
    <col min="7685" max="7685" width="37.88671875" style="129" customWidth="1"/>
    <col min="7686" max="7686" width="42.6640625" style="129" customWidth="1"/>
    <col min="7687" max="7936" width="9.109375" style="129"/>
    <col min="7937" max="7937" width="17.88671875" style="129" customWidth="1"/>
    <col min="7938" max="7938" width="91.109375" style="129" customWidth="1"/>
    <col min="7939" max="7939" width="8.5546875" style="129" customWidth="1"/>
    <col min="7940" max="7940" width="10.6640625" style="129" customWidth="1"/>
    <col min="7941" max="7941" width="37.88671875" style="129" customWidth="1"/>
    <col min="7942" max="7942" width="42.6640625" style="129" customWidth="1"/>
    <col min="7943" max="8192" width="9.109375" style="129"/>
    <col min="8193" max="8193" width="17.88671875" style="129" customWidth="1"/>
    <col min="8194" max="8194" width="91.109375" style="129" customWidth="1"/>
    <col min="8195" max="8195" width="8.5546875" style="129" customWidth="1"/>
    <col min="8196" max="8196" width="10.6640625" style="129" customWidth="1"/>
    <col min="8197" max="8197" width="37.88671875" style="129" customWidth="1"/>
    <col min="8198" max="8198" width="42.6640625" style="129" customWidth="1"/>
    <col min="8199" max="8448" width="9.109375" style="129"/>
    <col min="8449" max="8449" width="17.88671875" style="129" customWidth="1"/>
    <col min="8450" max="8450" width="91.109375" style="129" customWidth="1"/>
    <col min="8451" max="8451" width="8.5546875" style="129" customWidth="1"/>
    <col min="8452" max="8452" width="10.6640625" style="129" customWidth="1"/>
    <col min="8453" max="8453" width="37.88671875" style="129" customWidth="1"/>
    <col min="8454" max="8454" width="42.6640625" style="129" customWidth="1"/>
    <col min="8455" max="8704" width="9.109375" style="129"/>
    <col min="8705" max="8705" width="17.88671875" style="129" customWidth="1"/>
    <col min="8706" max="8706" width="91.109375" style="129" customWidth="1"/>
    <col min="8707" max="8707" width="8.5546875" style="129" customWidth="1"/>
    <col min="8708" max="8708" width="10.6640625" style="129" customWidth="1"/>
    <col min="8709" max="8709" width="37.88671875" style="129" customWidth="1"/>
    <col min="8710" max="8710" width="42.6640625" style="129" customWidth="1"/>
    <col min="8711" max="8960" width="9.109375" style="129"/>
    <col min="8961" max="8961" width="17.88671875" style="129" customWidth="1"/>
    <col min="8962" max="8962" width="91.109375" style="129" customWidth="1"/>
    <col min="8963" max="8963" width="8.5546875" style="129" customWidth="1"/>
    <col min="8964" max="8964" width="10.6640625" style="129" customWidth="1"/>
    <col min="8965" max="8965" width="37.88671875" style="129" customWidth="1"/>
    <col min="8966" max="8966" width="42.6640625" style="129" customWidth="1"/>
    <col min="8967" max="9216" width="9.109375" style="129"/>
    <col min="9217" max="9217" width="17.88671875" style="129" customWidth="1"/>
    <col min="9218" max="9218" width="91.109375" style="129" customWidth="1"/>
    <col min="9219" max="9219" width="8.5546875" style="129" customWidth="1"/>
    <col min="9220" max="9220" width="10.6640625" style="129" customWidth="1"/>
    <col min="9221" max="9221" width="37.88671875" style="129" customWidth="1"/>
    <col min="9222" max="9222" width="42.6640625" style="129" customWidth="1"/>
    <col min="9223" max="9472" width="9.109375" style="129"/>
    <col min="9473" max="9473" width="17.88671875" style="129" customWidth="1"/>
    <col min="9474" max="9474" width="91.109375" style="129" customWidth="1"/>
    <col min="9475" max="9475" width="8.5546875" style="129" customWidth="1"/>
    <col min="9476" max="9476" width="10.6640625" style="129" customWidth="1"/>
    <col min="9477" max="9477" width="37.88671875" style="129" customWidth="1"/>
    <col min="9478" max="9478" width="42.6640625" style="129" customWidth="1"/>
    <col min="9479" max="9728" width="9.109375" style="129"/>
    <col min="9729" max="9729" width="17.88671875" style="129" customWidth="1"/>
    <col min="9730" max="9730" width="91.109375" style="129" customWidth="1"/>
    <col min="9731" max="9731" width="8.5546875" style="129" customWidth="1"/>
    <col min="9732" max="9732" width="10.6640625" style="129" customWidth="1"/>
    <col min="9733" max="9733" width="37.88671875" style="129" customWidth="1"/>
    <col min="9734" max="9734" width="42.6640625" style="129" customWidth="1"/>
    <col min="9735" max="9984" width="9.109375" style="129"/>
    <col min="9985" max="9985" width="17.88671875" style="129" customWidth="1"/>
    <col min="9986" max="9986" width="91.109375" style="129" customWidth="1"/>
    <col min="9987" max="9987" width="8.5546875" style="129" customWidth="1"/>
    <col min="9988" max="9988" width="10.6640625" style="129" customWidth="1"/>
    <col min="9989" max="9989" width="37.88671875" style="129" customWidth="1"/>
    <col min="9990" max="9990" width="42.6640625" style="129" customWidth="1"/>
    <col min="9991" max="10240" width="9.109375" style="129"/>
    <col min="10241" max="10241" width="17.88671875" style="129" customWidth="1"/>
    <col min="10242" max="10242" width="91.109375" style="129" customWidth="1"/>
    <col min="10243" max="10243" width="8.5546875" style="129" customWidth="1"/>
    <col min="10244" max="10244" width="10.6640625" style="129" customWidth="1"/>
    <col min="10245" max="10245" width="37.88671875" style="129" customWidth="1"/>
    <col min="10246" max="10246" width="42.6640625" style="129" customWidth="1"/>
    <col min="10247" max="10496" width="9.109375" style="129"/>
    <col min="10497" max="10497" width="17.88671875" style="129" customWidth="1"/>
    <col min="10498" max="10498" width="91.109375" style="129" customWidth="1"/>
    <col min="10499" max="10499" width="8.5546875" style="129" customWidth="1"/>
    <col min="10500" max="10500" width="10.6640625" style="129" customWidth="1"/>
    <col min="10501" max="10501" width="37.88671875" style="129" customWidth="1"/>
    <col min="10502" max="10502" width="42.6640625" style="129" customWidth="1"/>
    <col min="10503" max="10752" width="9.109375" style="129"/>
    <col min="10753" max="10753" width="17.88671875" style="129" customWidth="1"/>
    <col min="10754" max="10754" width="91.109375" style="129" customWidth="1"/>
    <col min="10755" max="10755" width="8.5546875" style="129" customWidth="1"/>
    <col min="10756" max="10756" width="10.6640625" style="129" customWidth="1"/>
    <col min="10757" max="10757" width="37.88671875" style="129" customWidth="1"/>
    <col min="10758" max="10758" width="42.6640625" style="129" customWidth="1"/>
    <col min="10759" max="11008" width="9.109375" style="129"/>
    <col min="11009" max="11009" width="17.88671875" style="129" customWidth="1"/>
    <col min="11010" max="11010" width="91.109375" style="129" customWidth="1"/>
    <col min="11011" max="11011" width="8.5546875" style="129" customWidth="1"/>
    <col min="11012" max="11012" width="10.6640625" style="129" customWidth="1"/>
    <col min="11013" max="11013" width="37.88671875" style="129" customWidth="1"/>
    <col min="11014" max="11014" width="42.6640625" style="129" customWidth="1"/>
    <col min="11015" max="11264" width="9.109375" style="129"/>
    <col min="11265" max="11265" width="17.88671875" style="129" customWidth="1"/>
    <col min="11266" max="11266" width="91.109375" style="129" customWidth="1"/>
    <col min="11267" max="11267" width="8.5546875" style="129" customWidth="1"/>
    <col min="11268" max="11268" width="10.6640625" style="129" customWidth="1"/>
    <col min="11269" max="11269" width="37.88671875" style="129" customWidth="1"/>
    <col min="11270" max="11270" width="42.6640625" style="129" customWidth="1"/>
    <col min="11271" max="11520" width="9.109375" style="129"/>
    <col min="11521" max="11521" width="17.88671875" style="129" customWidth="1"/>
    <col min="11522" max="11522" width="91.109375" style="129" customWidth="1"/>
    <col min="11523" max="11523" width="8.5546875" style="129" customWidth="1"/>
    <col min="11524" max="11524" width="10.6640625" style="129" customWidth="1"/>
    <col min="11525" max="11525" width="37.88671875" style="129" customWidth="1"/>
    <col min="11526" max="11526" width="42.6640625" style="129" customWidth="1"/>
    <col min="11527" max="11776" width="9.109375" style="129"/>
    <col min="11777" max="11777" width="17.88671875" style="129" customWidth="1"/>
    <col min="11778" max="11778" width="91.109375" style="129" customWidth="1"/>
    <col min="11779" max="11779" width="8.5546875" style="129" customWidth="1"/>
    <col min="11780" max="11780" width="10.6640625" style="129" customWidth="1"/>
    <col min="11781" max="11781" width="37.88671875" style="129" customWidth="1"/>
    <col min="11782" max="11782" width="42.6640625" style="129" customWidth="1"/>
    <col min="11783" max="12032" width="9.109375" style="129"/>
    <col min="12033" max="12033" width="17.88671875" style="129" customWidth="1"/>
    <col min="12034" max="12034" width="91.109375" style="129" customWidth="1"/>
    <col min="12035" max="12035" width="8.5546875" style="129" customWidth="1"/>
    <col min="12036" max="12036" width="10.6640625" style="129" customWidth="1"/>
    <col min="12037" max="12037" width="37.88671875" style="129" customWidth="1"/>
    <col min="12038" max="12038" width="42.6640625" style="129" customWidth="1"/>
    <col min="12039" max="12288" width="9.109375" style="129"/>
    <col min="12289" max="12289" width="17.88671875" style="129" customWidth="1"/>
    <col min="12290" max="12290" width="91.109375" style="129" customWidth="1"/>
    <col min="12291" max="12291" width="8.5546875" style="129" customWidth="1"/>
    <col min="12292" max="12292" width="10.6640625" style="129" customWidth="1"/>
    <col min="12293" max="12293" width="37.88671875" style="129" customWidth="1"/>
    <col min="12294" max="12294" width="42.6640625" style="129" customWidth="1"/>
    <col min="12295" max="12544" width="9.109375" style="129"/>
    <col min="12545" max="12545" width="17.88671875" style="129" customWidth="1"/>
    <col min="12546" max="12546" width="91.109375" style="129" customWidth="1"/>
    <col min="12547" max="12547" width="8.5546875" style="129" customWidth="1"/>
    <col min="12548" max="12548" width="10.6640625" style="129" customWidth="1"/>
    <col min="12549" max="12549" width="37.88671875" style="129" customWidth="1"/>
    <col min="12550" max="12550" width="42.6640625" style="129" customWidth="1"/>
    <col min="12551" max="12800" width="9.109375" style="129"/>
    <col min="12801" max="12801" width="17.88671875" style="129" customWidth="1"/>
    <col min="12802" max="12802" width="91.109375" style="129" customWidth="1"/>
    <col min="12803" max="12803" width="8.5546875" style="129" customWidth="1"/>
    <col min="12804" max="12804" width="10.6640625" style="129" customWidth="1"/>
    <col min="12805" max="12805" width="37.88671875" style="129" customWidth="1"/>
    <col min="12806" max="12806" width="42.6640625" style="129" customWidth="1"/>
    <col min="12807" max="13056" width="9.109375" style="129"/>
    <col min="13057" max="13057" width="17.88671875" style="129" customWidth="1"/>
    <col min="13058" max="13058" width="91.109375" style="129" customWidth="1"/>
    <col min="13059" max="13059" width="8.5546875" style="129" customWidth="1"/>
    <col min="13060" max="13060" width="10.6640625" style="129" customWidth="1"/>
    <col min="13061" max="13061" width="37.88671875" style="129" customWidth="1"/>
    <col min="13062" max="13062" width="42.6640625" style="129" customWidth="1"/>
    <col min="13063" max="13312" width="9.109375" style="129"/>
    <col min="13313" max="13313" width="17.88671875" style="129" customWidth="1"/>
    <col min="13314" max="13314" width="91.109375" style="129" customWidth="1"/>
    <col min="13315" max="13315" width="8.5546875" style="129" customWidth="1"/>
    <col min="13316" max="13316" width="10.6640625" style="129" customWidth="1"/>
    <col min="13317" max="13317" width="37.88671875" style="129" customWidth="1"/>
    <col min="13318" max="13318" width="42.6640625" style="129" customWidth="1"/>
    <col min="13319" max="13568" width="9.109375" style="129"/>
    <col min="13569" max="13569" width="17.88671875" style="129" customWidth="1"/>
    <col min="13570" max="13570" width="91.109375" style="129" customWidth="1"/>
    <col min="13571" max="13571" width="8.5546875" style="129" customWidth="1"/>
    <col min="13572" max="13572" width="10.6640625" style="129" customWidth="1"/>
    <col min="13573" max="13573" width="37.88671875" style="129" customWidth="1"/>
    <col min="13574" max="13574" width="42.6640625" style="129" customWidth="1"/>
    <col min="13575" max="13824" width="9.109375" style="129"/>
    <col min="13825" max="13825" width="17.88671875" style="129" customWidth="1"/>
    <col min="13826" max="13826" width="91.109375" style="129" customWidth="1"/>
    <col min="13827" max="13827" width="8.5546875" style="129" customWidth="1"/>
    <col min="13828" max="13828" width="10.6640625" style="129" customWidth="1"/>
    <col min="13829" max="13829" width="37.88671875" style="129" customWidth="1"/>
    <col min="13830" max="13830" width="42.6640625" style="129" customWidth="1"/>
    <col min="13831" max="14080" width="9.109375" style="129"/>
    <col min="14081" max="14081" width="17.88671875" style="129" customWidth="1"/>
    <col min="14082" max="14082" width="91.109375" style="129" customWidth="1"/>
    <col min="14083" max="14083" width="8.5546875" style="129" customWidth="1"/>
    <col min="14084" max="14084" width="10.6640625" style="129" customWidth="1"/>
    <col min="14085" max="14085" width="37.88671875" style="129" customWidth="1"/>
    <col min="14086" max="14086" width="42.6640625" style="129" customWidth="1"/>
    <col min="14087" max="14336" width="9.109375" style="129"/>
    <col min="14337" max="14337" width="17.88671875" style="129" customWidth="1"/>
    <col min="14338" max="14338" width="91.109375" style="129" customWidth="1"/>
    <col min="14339" max="14339" width="8.5546875" style="129" customWidth="1"/>
    <col min="14340" max="14340" width="10.6640625" style="129" customWidth="1"/>
    <col min="14341" max="14341" width="37.88671875" style="129" customWidth="1"/>
    <col min="14342" max="14342" width="42.6640625" style="129" customWidth="1"/>
    <col min="14343" max="14592" width="9.109375" style="129"/>
    <col min="14593" max="14593" width="17.88671875" style="129" customWidth="1"/>
    <col min="14594" max="14594" width="91.109375" style="129" customWidth="1"/>
    <col min="14595" max="14595" width="8.5546875" style="129" customWidth="1"/>
    <col min="14596" max="14596" width="10.6640625" style="129" customWidth="1"/>
    <col min="14597" max="14597" width="37.88671875" style="129" customWidth="1"/>
    <col min="14598" max="14598" width="42.6640625" style="129" customWidth="1"/>
    <col min="14599" max="14848" width="9.109375" style="129"/>
    <col min="14849" max="14849" width="17.88671875" style="129" customWidth="1"/>
    <col min="14850" max="14850" width="91.109375" style="129" customWidth="1"/>
    <col min="14851" max="14851" width="8.5546875" style="129" customWidth="1"/>
    <col min="14852" max="14852" width="10.6640625" style="129" customWidth="1"/>
    <col min="14853" max="14853" width="37.88671875" style="129" customWidth="1"/>
    <col min="14854" max="14854" width="42.6640625" style="129" customWidth="1"/>
    <col min="14855" max="15104" width="9.109375" style="129"/>
    <col min="15105" max="15105" width="17.88671875" style="129" customWidth="1"/>
    <col min="15106" max="15106" width="91.109375" style="129" customWidth="1"/>
    <col min="15107" max="15107" width="8.5546875" style="129" customWidth="1"/>
    <col min="15108" max="15108" width="10.6640625" style="129" customWidth="1"/>
    <col min="15109" max="15109" width="37.88671875" style="129" customWidth="1"/>
    <col min="15110" max="15110" width="42.6640625" style="129" customWidth="1"/>
    <col min="15111" max="15360" width="9.109375" style="129"/>
    <col min="15361" max="15361" width="17.88671875" style="129" customWidth="1"/>
    <col min="15362" max="15362" width="91.109375" style="129" customWidth="1"/>
    <col min="15363" max="15363" width="8.5546875" style="129" customWidth="1"/>
    <col min="15364" max="15364" width="10.6640625" style="129" customWidth="1"/>
    <col min="15365" max="15365" width="37.88671875" style="129" customWidth="1"/>
    <col min="15366" max="15366" width="42.6640625" style="129" customWidth="1"/>
    <col min="15367" max="15616" width="9.109375" style="129"/>
    <col min="15617" max="15617" width="17.88671875" style="129" customWidth="1"/>
    <col min="15618" max="15618" width="91.109375" style="129" customWidth="1"/>
    <col min="15619" max="15619" width="8.5546875" style="129" customWidth="1"/>
    <col min="15620" max="15620" width="10.6640625" style="129" customWidth="1"/>
    <col min="15621" max="15621" width="37.88671875" style="129" customWidth="1"/>
    <col min="15622" max="15622" width="42.6640625" style="129" customWidth="1"/>
    <col min="15623" max="15872" width="9.109375" style="129"/>
    <col min="15873" max="15873" width="17.88671875" style="129" customWidth="1"/>
    <col min="15874" max="15874" width="91.109375" style="129" customWidth="1"/>
    <col min="15875" max="15875" width="8.5546875" style="129" customWidth="1"/>
    <col min="15876" max="15876" width="10.6640625" style="129" customWidth="1"/>
    <col min="15877" max="15877" width="37.88671875" style="129" customWidth="1"/>
    <col min="15878" max="15878" width="42.6640625" style="129" customWidth="1"/>
    <col min="15879" max="16128" width="9.109375" style="129"/>
    <col min="16129" max="16129" width="17.88671875" style="129" customWidth="1"/>
    <col min="16130" max="16130" width="91.109375" style="129" customWidth="1"/>
    <col min="16131" max="16131" width="8.5546875" style="129" customWidth="1"/>
    <col min="16132" max="16132" width="10.6640625" style="129" customWidth="1"/>
    <col min="16133" max="16133" width="37.88671875" style="129" customWidth="1"/>
    <col min="16134" max="16134" width="42.6640625" style="129" customWidth="1"/>
    <col min="16135" max="16383" width="9.109375" style="129"/>
    <col min="16384" max="16384" width="9.109375" style="129" customWidth="1"/>
  </cols>
  <sheetData>
    <row r="1" spans="1:7" s="104" customFormat="1" ht="78.75" customHeight="1">
      <c r="A1" s="102" t="s">
        <v>10</v>
      </c>
      <c r="B1" s="344" t="s">
        <v>576</v>
      </c>
      <c r="C1" s="345"/>
      <c r="D1" s="345"/>
      <c r="E1" s="345"/>
      <c r="F1" s="345"/>
      <c r="G1" s="346"/>
    </row>
    <row r="2" spans="1:7" s="105" customFormat="1" ht="40.5" customHeight="1">
      <c r="A2" s="347" t="s">
        <v>590</v>
      </c>
      <c r="B2" s="348"/>
      <c r="C2" s="348"/>
      <c r="D2" s="348"/>
      <c r="E2" s="348"/>
      <c r="F2" s="348"/>
      <c r="G2" s="348"/>
    </row>
    <row r="3" spans="1:7" s="106" customFormat="1" ht="18" customHeight="1">
      <c r="A3" s="340" t="s">
        <v>527</v>
      </c>
      <c r="B3" s="341"/>
      <c r="C3" s="341"/>
      <c r="D3" s="341"/>
      <c r="E3" s="341"/>
      <c r="F3" s="341"/>
      <c r="G3" s="341"/>
    </row>
    <row r="4" spans="1:7" s="107" customFormat="1" ht="18" customHeight="1">
      <c r="A4" s="340" t="s">
        <v>0</v>
      </c>
      <c r="B4" s="341"/>
      <c r="C4" s="341"/>
      <c r="D4" s="341"/>
      <c r="E4" s="341"/>
      <c r="F4" s="341"/>
      <c r="G4" s="341"/>
    </row>
    <row r="5" spans="1:7" s="111" customFormat="1" ht="145.5" customHeight="1">
      <c r="A5" s="108" t="s">
        <v>282</v>
      </c>
      <c r="B5" s="108" t="s">
        <v>283</v>
      </c>
      <c r="C5" s="109" t="s">
        <v>3</v>
      </c>
      <c r="D5" s="110" t="s">
        <v>476</v>
      </c>
      <c r="E5" s="97" t="s">
        <v>478</v>
      </c>
      <c r="F5" s="237" t="s">
        <v>478</v>
      </c>
      <c r="G5" s="91" t="s">
        <v>479</v>
      </c>
    </row>
    <row r="6" spans="1:7" s="115" customFormat="1" ht="26.25" customHeight="1">
      <c r="A6" s="112"/>
      <c r="B6" s="112"/>
      <c r="C6" s="113" t="s">
        <v>4</v>
      </c>
      <c r="D6" s="114" t="s">
        <v>5</v>
      </c>
      <c r="E6" s="98" t="s">
        <v>6</v>
      </c>
      <c r="F6" s="98" t="s">
        <v>6</v>
      </c>
      <c r="G6" s="92" t="s">
        <v>7</v>
      </c>
    </row>
    <row r="7" spans="1:7" s="119" customFormat="1" ht="69.75" customHeight="1">
      <c r="A7" s="112" t="s">
        <v>284</v>
      </c>
      <c r="B7" s="116" t="s">
        <v>285</v>
      </c>
      <c r="C7" s="117"/>
      <c r="D7" s="118"/>
      <c r="E7" s="99"/>
      <c r="F7" s="99"/>
      <c r="G7" s="93"/>
    </row>
    <row r="8" spans="1:7" s="119" customFormat="1" ht="42" hidden="1" customHeight="1">
      <c r="A8" s="120" t="s">
        <v>286</v>
      </c>
      <c r="B8" s="121" t="s">
        <v>287</v>
      </c>
      <c r="C8" s="122" t="s">
        <v>250</v>
      </c>
      <c r="D8" s="123">
        <v>0</v>
      </c>
      <c r="E8" s="100">
        <f>179-(179*0.55/100)</f>
        <v>178.0155</v>
      </c>
      <c r="F8" s="100">
        <f>E8*1.1</f>
        <v>195.81705000000002</v>
      </c>
      <c r="G8" s="94">
        <f>F8*D8</f>
        <v>0</v>
      </c>
    </row>
    <row r="9" spans="1:7" s="119" customFormat="1" ht="33.75" customHeight="1">
      <c r="A9" s="120" t="s">
        <v>288</v>
      </c>
      <c r="B9" s="121" t="s">
        <v>289</v>
      </c>
      <c r="C9" s="122" t="s">
        <v>11</v>
      </c>
      <c r="D9" s="123">
        <v>1</v>
      </c>
      <c r="E9" s="100">
        <f>23740-(23740*0.55/100)</f>
        <v>23609.43</v>
      </c>
      <c r="F9" s="100">
        <f t="shared" ref="F9:F10" si="0">E9*1.1</f>
        <v>25970.373000000003</v>
      </c>
      <c r="G9" s="94">
        <f t="shared" ref="G9:G10" si="1">F9*D9</f>
        <v>25970.373000000003</v>
      </c>
    </row>
    <row r="10" spans="1:7" s="119" customFormat="1" ht="47.25" hidden="1" customHeight="1">
      <c r="A10" s="120" t="s">
        <v>290</v>
      </c>
      <c r="B10" s="121" t="s">
        <v>291</v>
      </c>
      <c r="C10" s="122" t="s">
        <v>250</v>
      </c>
      <c r="D10" s="123">
        <v>0</v>
      </c>
      <c r="E10" s="100">
        <f>139-(139*0.55/100)</f>
        <v>138.2355</v>
      </c>
      <c r="F10" s="100">
        <f t="shared" si="0"/>
        <v>152.05905000000001</v>
      </c>
      <c r="G10" s="94">
        <f t="shared" si="1"/>
        <v>0</v>
      </c>
    </row>
    <row r="11" spans="1:7" s="119" customFormat="1" ht="47.25" customHeight="1">
      <c r="A11" s="120"/>
      <c r="B11" s="125"/>
      <c r="C11" s="122"/>
      <c r="D11" s="123"/>
      <c r="E11" s="100"/>
      <c r="F11" s="100"/>
      <c r="G11" s="94" t="s">
        <v>511</v>
      </c>
    </row>
    <row r="12" spans="1:7" s="119" customFormat="1" ht="21.75" customHeight="1">
      <c r="A12" s="112" t="s">
        <v>292</v>
      </c>
      <c r="B12" s="126" t="s">
        <v>293</v>
      </c>
      <c r="C12" s="122"/>
      <c r="D12" s="123"/>
      <c r="E12" s="99"/>
      <c r="F12" s="99"/>
      <c r="G12" s="94" t="s">
        <v>511</v>
      </c>
    </row>
    <row r="13" spans="1:7" s="119" customFormat="1" ht="102" hidden="1" customHeight="1">
      <c r="A13" s="120" t="s">
        <v>294</v>
      </c>
      <c r="B13" s="121" t="s">
        <v>295</v>
      </c>
      <c r="C13" s="122" t="s">
        <v>250</v>
      </c>
      <c r="D13" s="123">
        <v>0</v>
      </c>
      <c r="E13" s="100">
        <f>65-(65*0.55/100)</f>
        <v>64.642499999999998</v>
      </c>
      <c r="F13" s="100">
        <f t="shared" ref="F13:F23" si="2">E13*1.1</f>
        <v>71.106750000000005</v>
      </c>
      <c r="G13" s="94">
        <f t="shared" ref="G13:G23" si="3">F13*D13</f>
        <v>0</v>
      </c>
    </row>
    <row r="14" spans="1:7" s="119" customFormat="1" ht="59.25" hidden="1" customHeight="1">
      <c r="A14" s="120" t="s">
        <v>296</v>
      </c>
      <c r="B14" s="121" t="s">
        <v>297</v>
      </c>
      <c r="C14" s="122" t="s">
        <v>250</v>
      </c>
      <c r="D14" s="123">
        <v>0</v>
      </c>
      <c r="E14" s="100">
        <f>71-(71*0.55/100)</f>
        <v>70.609499999999997</v>
      </c>
      <c r="F14" s="100">
        <f t="shared" si="2"/>
        <v>77.670450000000002</v>
      </c>
      <c r="G14" s="94">
        <f t="shared" si="3"/>
        <v>0</v>
      </c>
    </row>
    <row r="15" spans="1:7" s="119" customFormat="1" ht="13.2">
      <c r="A15" s="120" t="s">
        <v>298</v>
      </c>
      <c r="B15" s="121" t="s">
        <v>299</v>
      </c>
      <c r="C15" s="122" t="s">
        <v>250</v>
      </c>
      <c r="D15" s="123">
        <v>50</v>
      </c>
      <c r="E15" s="100">
        <f>91.75*1.2</f>
        <v>110.1</v>
      </c>
      <c r="F15" s="100">
        <f t="shared" si="2"/>
        <v>121.11</v>
      </c>
      <c r="G15" s="94">
        <f t="shared" si="3"/>
        <v>6055.5</v>
      </c>
    </row>
    <row r="16" spans="1:7" s="119" customFormat="1" ht="21.75" hidden="1" customHeight="1">
      <c r="A16" s="120" t="s">
        <v>300</v>
      </c>
      <c r="B16" s="121" t="s">
        <v>301</v>
      </c>
      <c r="C16" s="122" t="s">
        <v>250</v>
      </c>
      <c r="D16" s="123">
        <v>0</v>
      </c>
      <c r="E16" s="100">
        <v>650</v>
      </c>
      <c r="F16" s="100">
        <f t="shared" si="2"/>
        <v>715.00000000000011</v>
      </c>
      <c r="G16" s="94">
        <f t="shared" si="3"/>
        <v>0</v>
      </c>
    </row>
    <row r="17" spans="1:7" s="119" customFormat="1" ht="35.25" customHeight="1">
      <c r="A17" s="120" t="s">
        <v>302</v>
      </c>
      <c r="B17" s="121" t="s">
        <v>303</v>
      </c>
      <c r="C17" s="122" t="s">
        <v>11</v>
      </c>
      <c r="D17" s="123">
        <v>1</v>
      </c>
      <c r="E17" s="100">
        <f>23740-(23740*0.55/100)</f>
        <v>23609.43</v>
      </c>
      <c r="F17" s="100">
        <f t="shared" si="2"/>
        <v>25970.373000000003</v>
      </c>
      <c r="G17" s="94">
        <f t="shared" si="3"/>
        <v>25970.373000000003</v>
      </c>
    </row>
    <row r="18" spans="1:7" s="119" customFormat="1" ht="29.25" customHeight="1">
      <c r="A18" s="120" t="s">
        <v>304</v>
      </c>
      <c r="B18" s="121" t="s">
        <v>305</v>
      </c>
      <c r="C18" s="122" t="s">
        <v>306</v>
      </c>
      <c r="D18" s="123">
        <v>1</v>
      </c>
      <c r="E18" s="100">
        <f>23980-(23980*0.55/100)</f>
        <v>23848.11</v>
      </c>
      <c r="F18" s="100">
        <f t="shared" si="2"/>
        <v>26232.921000000002</v>
      </c>
      <c r="G18" s="94">
        <f t="shared" si="3"/>
        <v>26232.921000000002</v>
      </c>
    </row>
    <row r="19" spans="1:7" s="119" customFormat="1" ht="62.25" customHeight="1">
      <c r="A19" s="120" t="s">
        <v>307</v>
      </c>
      <c r="B19" s="121" t="s">
        <v>308</v>
      </c>
      <c r="C19" s="122" t="s">
        <v>306</v>
      </c>
      <c r="D19" s="123">
        <v>1</v>
      </c>
      <c r="E19" s="100">
        <f>30466-(30466*0.55/100)</f>
        <v>30298.437000000002</v>
      </c>
      <c r="F19" s="100">
        <f t="shared" si="2"/>
        <v>33328.280700000003</v>
      </c>
      <c r="G19" s="94">
        <f t="shared" si="3"/>
        <v>33328.280700000003</v>
      </c>
    </row>
    <row r="20" spans="1:7" s="119" customFormat="1" ht="24.75" hidden="1" customHeight="1">
      <c r="A20" s="120" t="s">
        <v>309</v>
      </c>
      <c r="B20" s="121" t="s">
        <v>310</v>
      </c>
      <c r="C20" s="122" t="s">
        <v>250</v>
      </c>
      <c r="D20" s="123">
        <v>0</v>
      </c>
      <c r="E20" s="100">
        <v>25</v>
      </c>
      <c r="F20" s="100">
        <f t="shared" si="2"/>
        <v>27.500000000000004</v>
      </c>
      <c r="G20" s="94">
        <f t="shared" si="3"/>
        <v>0</v>
      </c>
    </row>
    <row r="21" spans="1:7" s="119" customFormat="1" ht="42.75" hidden="1" customHeight="1">
      <c r="A21" s="120" t="s">
        <v>311</v>
      </c>
      <c r="B21" s="127" t="s">
        <v>312</v>
      </c>
      <c r="C21" s="122" t="s">
        <v>11</v>
      </c>
      <c r="D21" s="123">
        <v>0</v>
      </c>
      <c r="E21" s="100">
        <f>68812.5*1.2</f>
        <v>82575</v>
      </c>
      <c r="F21" s="100">
        <f t="shared" si="2"/>
        <v>90832.500000000015</v>
      </c>
      <c r="G21" s="94">
        <f t="shared" si="3"/>
        <v>0</v>
      </c>
    </row>
    <row r="22" spans="1:7" s="119" customFormat="1" ht="33.75" hidden="1" customHeight="1">
      <c r="A22" s="120" t="s">
        <v>313</v>
      </c>
      <c r="B22" s="121" t="s">
        <v>314</v>
      </c>
      <c r="C22" s="122" t="s">
        <v>11</v>
      </c>
      <c r="D22" s="123">
        <v>0</v>
      </c>
      <c r="E22" s="100">
        <f>11468.12*1.2</f>
        <v>13761.744000000001</v>
      </c>
      <c r="F22" s="100">
        <f t="shared" si="2"/>
        <v>15137.918400000002</v>
      </c>
      <c r="G22" s="94">
        <f t="shared" si="3"/>
        <v>0</v>
      </c>
    </row>
    <row r="23" spans="1:7" s="119" customFormat="1" ht="24.75" hidden="1" customHeight="1">
      <c r="A23" s="120" t="s">
        <v>315</v>
      </c>
      <c r="B23" s="121" t="s">
        <v>316</v>
      </c>
      <c r="C23" s="122" t="s">
        <v>250</v>
      </c>
      <c r="D23" s="123">
        <v>0</v>
      </c>
      <c r="E23" s="100">
        <f>321.13*1.2</f>
        <v>385.35599999999999</v>
      </c>
      <c r="F23" s="100">
        <f t="shared" si="2"/>
        <v>423.89160000000004</v>
      </c>
      <c r="G23" s="94">
        <f t="shared" si="3"/>
        <v>0</v>
      </c>
    </row>
    <row r="24" spans="1:7" s="119" customFormat="1" ht="30.75" customHeight="1">
      <c r="A24" s="342" t="s">
        <v>317</v>
      </c>
      <c r="B24" s="342"/>
      <c r="C24" s="343"/>
      <c r="D24" s="343"/>
      <c r="E24" s="100" t="s">
        <v>511</v>
      </c>
      <c r="F24" s="100"/>
      <c r="G24" s="95">
        <f>SUM(G7:G23)</f>
        <v>117557.44770000002</v>
      </c>
    </row>
  </sheetData>
  <sheetProtection password="CEE5" sheet="1" objects="1" scenarios="1" formatCells="0" formatColumns="0" formatRows="0"/>
  <autoFilter ref="D1:D24">
    <filterColumn colId="0">
      <filters blank="1">
        <filter val="(2)"/>
        <filter val="1"/>
        <filter val="50"/>
        <filter val="Quantity"/>
      </filters>
    </filterColumn>
  </autoFilter>
  <mergeCells count="6">
    <mergeCell ref="A24:B24"/>
    <mergeCell ref="C24:D24"/>
    <mergeCell ref="B1:G1"/>
    <mergeCell ref="A2:G2"/>
    <mergeCell ref="A3:G3"/>
    <mergeCell ref="A4:G4"/>
  </mergeCells>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PREAMBLE TO SOR</vt:lpstr>
      <vt:lpstr>SUMMARY</vt:lpstr>
      <vt:lpstr>TOTAL</vt:lpstr>
      <vt:lpstr>Sec-A</vt:lpstr>
      <vt:lpstr>Sec-B</vt:lpstr>
      <vt:lpstr>SEC-C</vt:lpstr>
      <vt:lpstr>SEC E</vt:lpstr>
      <vt:lpstr>SEC F</vt:lpstr>
      <vt:lpstr>SEC G</vt:lpstr>
      <vt:lpstr>'PREAMBLE TO SOR'!Print_Area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2021-03-11T06:36:25Z</dcterms:modified>
</cp:coreProperties>
</file>